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V:\TIS teenused\Tervisekassa leping ja aruandlus\Aruandlus\II kvartal\"/>
    </mc:Choice>
  </mc:AlternateContent>
  <xr:revisionPtr revIDLastSave="0" documentId="8_{3C82180B-602B-4527-A0BC-B11A6E447D24}" xr6:coauthVersionLast="47" xr6:coauthVersionMax="47" xr10:uidLastSave="{00000000-0000-0000-0000-000000000000}"/>
  <bookViews>
    <workbookView xWindow="-108" yWindow="-108" windowWidth="30936" windowHeight="16896" activeTab="2" xr2:uid="{040CA9E7-F5A0-1C47-9D77-1A82A5FAE032}"/>
  </bookViews>
  <sheets>
    <sheet name="Sissejuhatus" sheetId="9" r:id="rId1"/>
    <sheet name="LISA 1" sheetId="11" r:id="rId2"/>
    <sheet name="LISA 2" sheetId="7" r:id="rId3"/>
    <sheet name="LISA 2 (kõik kuud)" sheetId="4" state="hidden" r:id="rId4"/>
    <sheet name="Investeeringute kirjeldus" sheetId="6" state="hidden" r:id="rId5"/>
    <sheet name="PEX jaotus" sheetId="8" state="hidden" r:id="rId6"/>
  </sheets>
  <definedNames>
    <definedName name="_xlnm._FilterDatabase" localSheetId="4" hidden="1">'Investeeringute kirjeldus'!$A$2:$AB$38</definedName>
    <definedName name="_xlnm._FilterDatabase" localSheetId="2" hidden="1">'LISA 2'!$A$3:$M$70</definedName>
    <definedName name="_xlnm._FilterDatabase" localSheetId="3" hidden="1">'LISA 2 (kõik kuud)'!$A$2:$R$70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0" i="7" l="1"/>
  <c r="M5" i="7"/>
  <c r="L5" i="7"/>
  <c r="D68" i="7" l="1"/>
  <c r="E68" i="7"/>
  <c r="F68" i="7"/>
  <c r="G68" i="7"/>
  <c r="C5" i="7"/>
  <c r="I43" i="7"/>
  <c r="I41" i="7"/>
  <c r="I38" i="7"/>
  <c r="I27" i="7"/>
  <c r="I16" i="7"/>
  <c r="I14" i="7"/>
  <c r="I12" i="7"/>
  <c r="I4" i="7"/>
  <c r="M4" i="7" s="1"/>
  <c r="H16" i="7"/>
  <c r="J44" i="7" l="1"/>
  <c r="J45" i="7"/>
  <c r="J65" i="7"/>
  <c r="J63" i="7"/>
  <c r="J58" i="7"/>
  <c r="J57" i="7"/>
  <c r="J53" i="7"/>
  <c r="J49" i="7"/>
  <c r="N49" i="7" s="1"/>
  <c r="J42" i="7"/>
  <c r="J40" i="7"/>
  <c r="J39" i="7"/>
  <c r="J35" i="7"/>
  <c r="J37" i="7"/>
  <c r="J33" i="7"/>
  <c r="J28" i="7"/>
  <c r="J23" i="7"/>
  <c r="N23" i="7" s="1"/>
  <c r="J17" i="7"/>
  <c r="J15" i="7"/>
  <c r="J13" i="7"/>
  <c r="J7" i="7"/>
  <c r="J5" i="7"/>
  <c r="N5" i="7" s="1"/>
  <c r="M65" i="7"/>
  <c r="M63" i="7"/>
  <c r="M58" i="7"/>
  <c r="M57" i="7"/>
  <c r="M53" i="7"/>
  <c r="M49" i="7"/>
  <c r="M45" i="7"/>
  <c r="M44" i="7"/>
  <c r="M42" i="7"/>
  <c r="M40" i="7"/>
  <c r="M39" i="7"/>
  <c r="M37" i="7"/>
  <c r="M35" i="7"/>
  <c r="M33" i="7"/>
  <c r="M28" i="7"/>
  <c r="M23" i="7"/>
  <c r="M17" i="7"/>
  <c r="M15" i="7"/>
  <c r="M13" i="7"/>
  <c r="M11" i="7"/>
  <c r="M9" i="7"/>
  <c r="M7" i="7"/>
  <c r="J9" i="7"/>
  <c r="J11" i="7"/>
  <c r="N11" i="7" s="1"/>
  <c r="C7" i="7"/>
  <c r="C8" i="7"/>
  <c r="C9" i="7"/>
  <c r="C10" i="7"/>
  <c r="C11" i="7"/>
  <c r="C13" i="7"/>
  <c r="C15" i="7"/>
  <c r="K15" i="7" s="1"/>
  <c r="K14" i="7" s="1"/>
  <c r="C17" i="7"/>
  <c r="K17" i="7" s="1"/>
  <c r="K16" i="7" s="1"/>
  <c r="C19" i="7"/>
  <c r="C21" i="7"/>
  <c r="C22" i="7"/>
  <c r="C23" i="7"/>
  <c r="C25" i="7"/>
  <c r="C26" i="7"/>
  <c r="C28" i="7"/>
  <c r="C30" i="7"/>
  <c r="C31" i="7"/>
  <c r="C32" i="7"/>
  <c r="C33" i="7"/>
  <c r="C35" i="7"/>
  <c r="C36" i="7"/>
  <c r="C37" i="7"/>
  <c r="C39" i="7"/>
  <c r="K39" i="7" s="1"/>
  <c r="C40" i="7"/>
  <c r="K40" i="7" s="1"/>
  <c r="C42" i="7"/>
  <c r="C44" i="7"/>
  <c r="C45" i="7"/>
  <c r="C47" i="7"/>
  <c r="C48" i="7"/>
  <c r="C49" i="7"/>
  <c r="C50" i="7"/>
  <c r="C51" i="7"/>
  <c r="C52" i="7"/>
  <c r="C53" i="7"/>
  <c r="C54" i="7"/>
  <c r="C55" i="7"/>
  <c r="C56" i="7"/>
  <c r="C57" i="7"/>
  <c r="C58" i="7"/>
  <c r="K58" i="7" s="1"/>
  <c r="C59" i="7"/>
  <c r="C60" i="7"/>
  <c r="C61" i="7"/>
  <c r="C62" i="7"/>
  <c r="C63" i="7"/>
  <c r="C64" i="7"/>
  <c r="C65" i="7"/>
  <c r="C67" i="7"/>
  <c r="I26" i="7"/>
  <c r="M26" i="7" s="1"/>
  <c r="J27" i="7" l="1"/>
  <c r="N28" i="7"/>
  <c r="N53" i="7"/>
  <c r="N33" i="7"/>
  <c r="N57" i="7"/>
  <c r="N37" i="7"/>
  <c r="N58" i="7"/>
  <c r="N9" i="7"/>
  <c r="N7" i="7"/>
  <c r="N35" i="7"/>
  <c r="N63" i="7"/>
  <c r="K49" i="7"/>
  <c r="J12" i="7"/>
  <c r="N13" i="7"/>
  <c r="N39" i="7"/>
  <c r="N65" i="7"/>
  <c r="J14" i="7"/>
  <c r="N15" i="7"/>
  <c r="N40" i="7"/>
  <c r="N45" i="7"/>
  <c r="J16" i="7"/>
  <c r="N17" i="7"/>
  <c r="J41" i="7"/>
  <c r="N42" i="7"/>
  <c r="N44" i="7"/>
  <c r="K65" i="7"/>
  <c r="K13" i="7"/>
  <c r="K12" i="7" s="1"/>
  <c r="K28" i="7"/>
  <c r="K27" i="7" s="1"/>
  <c r="K45" i="7"/>
  <c r="K53" i="7"/>
  <c r="J43" i="7"/>
  <c r="K57" i="7"/>
  <c r="J38" i="7"/>
  <c r="K33" i="7"/>
  <c r="K44" i="7"/>
  <c r="K42" i="7"/>
  <c r="K11" i="7"/>
  <c r="K38" i="7"/>
  <c r="J4" i="7"/>
  <c r="K5" i="7"/>
  <c r="K37" i="7"/>
  <c r="K63" i="7"/>
  <c r="K35" i="7"/>
  <c r="K23" i="7"/>
  <c r="K9" i="7"/>
  <c r="K7" i="7"/>
  <c r="J26" i="7"/>
  <c r="C68" i="7"/>
  <c r="I68" i="7"/>
  <c r="J68" i="7"/>
  <c r="I50" i="7"/>
  <c r="I30" i="7"/>
  <c r="I31" i="7"/>
  <c r="I10" i="7"/>
  <c r="I64" i="7"/>
  <c r="I60" i="7"/>
  <c r="I59" i="7"/>
  <c r="I56" i="7"/>
  <c r="I55" i="7"/>
  <c r="I54" i="7"/>
  <c r="I52" i="7"/>
  <c r="I51" i="7"/>
  <c r="I8" i="7"/>
  <c r="I47" i="7"/>
  <c r="K26" i="7" l="1"/>
  <c r="N26" i="7"/>
  <c r="K41" i="7"/>
  <c r="K68" i="7"/>
  <c r="K43" i="7"/>
  <c r="K4" i="7"/>
  <c r="M64" i="7"/>
  <c r="J64" i="7"/>
  <c r="M52" i="7"/>
  <c r="J52" i="7"/>
  <c r="M31" i="7"/>
  <c r="J31" i="7"/>
  <c r="M54" i="7"/>
  <c r="J54" i="7"/>
  <c r="M30" i="7"/>
  <c r="J30" i="7"/>
  <c r="M56" i="7"/>
  <c r="J56" i="7"/>
  <c r="M51" i="7"/>
  <c r="J51" i="7"/>
  <c r="M50" i="7"/>
  <c r="J50" i="7"/>
  <c r="I6" i="7"/>
  <c r="J8" i="7"/>
  <c r="M55" i="7"/>
  <c r="J55" i="7"/>
  <c r="M59" i="7"/>
  <c r="J59" i="7"/>
  <c r="M47" i="7"/>
  <c r="J47" i="7"/>
  <c r="M60" i="7"/>
  <c r="J60" i="7"/>
  <c r="M8" i="7"/>
  <c r="J10" i="7"/>
  <c r="M10" i="7"/>
  <c r="M16" i="7"/>
  <c r="K50" i="7" l="1"/>
  <c r="N50" i="7"/>
  <c r="K54" i="7"/>
  <c r="N54" i="7"/>
  <c r="K47" i="7"/>
  <c r="N47" i="7"/>
  <c r="K59" i="7"/>
  <c r="N59" i="7"/>
  <c r="N10" i="7"/>
  <c r="K10" i="7"/>
  <c r="K55" i="7"/>
  <c r="N55" i="7"/>
  <c r="K56" i="7"/>
  <c r="N56" i="7"/>
  <c r="K52" i="7"/>
  <c r="N52" i="7"/>
  <c r="K31" i="7"/>
  <c r="N31" i="7"/>
  <c r="K51" i="7"/>
  <c r="N51" i="7"/>
  <c r="N60" i="7"/>
  <c r="K60" i="7"/>
  <c r="K8" i="7"/>
  <c r="K6" i="7" s="1"/>
  <c r="N8" i="7"/>
  <c r="K30" i="7"/>
  <c r="N30" i="7"/>
  <c r="K64" i="7"/>
  <c r="N64" i="7"/>
  <c r="J6" i="7"/>
  <c r="E66" i="7" l="1"/>
  <c r="F66" i="7"/>
  <c r="G66" i="7"/>
  <c r="H66" i="7"/>
  <c r="D66" i="7"/>
  <c r="E46" i="7"/>
  <c r="F46" i="7"/>
  <c r="G46" i="7"/>
  <c r="H46" i="7"/>
  <c r="D46" i="7"/>
  <c r="E43" i="7"/>
  <c r="F43" i="7"/>
  <c r="G43" i="7"/>
  <c r="H43" i="7"/>
  <c r="D43" i="7"/>
  <c r="E41" i="7"/>
  <c r="F41" i="7"/>
  <c r="G41" i="7"/>
  <c r="H41" i="7"/>
  <c r="D41" i="7"/>
  <c r="E38" i="7"/>
  <c r="F38" i="7"/>
  <c r="G38" i="7"/>
  <c r="H38" i="7"/>
  <c r="D38" i="7"/>
  <c r="E34" i="7"/>
  <c r="F34" i="7"/>
  <c r="G34" i="7"/>
  <c r="H34" i="7"/>
  <c r="D34" i="7"/>
  <c r="E29" i="7"/>
  <c r="F29" i="7"/>
  <c r="G29" i="7"/>
  <c r="H29" i="7"/>
  <c r="D29" i="7"/>
  <c r="E27" i="7"/>
  <c r="F27" i="7"/>
  <c r="G27" i="7"/>
  <c r="H27" i="7"/>
  <c r="D27" i="7"/>
  <c r="E24" i="7"/>
  <c r="F24" i="7"/>
  <c r="G24" i="7"/>
  <c r="H24" i="7"/>
  <c r="D24" i="7"/>
  <c r="E20" i="7"/>
  <c r="F20" i="7"/>
  <c r="G20" i="7"/>
  <c r="H20" i="7"/>
  <c r="D20" i="7"/>
  <c r="E18" i="7"/>
  <c r="F18" i="7"/>
  <c r="G18" i="7"/>
  <c r="H18" i="7"/>
  <c r="D18" i="7"/>
  <c r="D16" i="7"/>
  <c r="E14" i="7"/>
  <c r="F14" i="7"/>
  <c r="G14" i="7"/>
  <c r="H14" i="7"/>
  <c r="D14" i="7"/>
  <c r="E12" i="7"/>
  <c r="F12" i="7"/>
  <c r="G12" i="7"/>
  <c r="H12" i="7"/>
  <c r="D12" i="7"/>
  <c r="D4" i="7"/>
  <c r="E6" i="7"/>
  <c r="M6" i="7" s="1"/>
  <c r="F6" i="7"/>
  <c r="G6" i="7"/>
  <c r="H6" i="7"/>
  <c r="D6" i="7"/>
  <c r="L6" i="7" l="1"/>
  <c r="C16" i="7"/>
  <c r="N16" i="7" s="1"/>
  <c r="M12" i="7"/>
  <c r="F70" i="7"/>
  <c r="F69" i="7" s="1"/>
  <c r="M38" i="7"/>
  <c r="M41" i="7"/>
  <c r="E70" i="7"/>
  <c r="E69" i="7" s="1"/>
  <c r="C4" i="7"/>
  <c r="N4" i="7" s="1"/>
  <c r="L4" i="7"/>
  <c r="D70" i="7"/>
  <c r="D69" i="7" s="1"/>
  <c r="M43" i="7"/>
  <c r="G70" i="7"/>
  <c r="G69" i="7" s="1"/>
  <c r="M27" i="7"/>
  <c r="M14" i="7"/>
  <c r="H70" i="7"/>
  <c r="C18" i="7"/>
  <c r="C43" i="7"/>
  <c r="N43" i="7" s="1"/>
  <c r="C14" i="7"/>
  <c r="N14" i="7" s="1"/>
  <c r="C24" i="7"/>
  <c r="C66" i="7"/>
  <c r="C12" i="7"/>
  <c r="N12" i="7" s="1"/>
  <c r="C20" i="7"/>
  <c r="C46" i="7"/>
  <c r="C6" i="7"/>
  <c r="N6" i="7" s="1"/>
  <c r="C34" i="7"/>
  <c r="C41" i="7"/>
  <c r="N41" i="7" s="1"/>
  <c r="C29" i="7"/>
  <c r="C38" i="7"/>
  <c r="N38" i="7" s="1"/>
  <c r="C27" i="7"/>
  <c r="N27" i="7" s="1"/>
  <c r="C70" i="7" l="1"/>
  <c r="C69" i="7" s="1"/>
  <c r="H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M21" i="7" l="1"/>
  <c r="I20" i="7"/>
  <c r="M20" i="7" s="1"/>
  <c r="J21" i="7"/>
  <c r="K21" i="7" s="1"/>
  <c r="J32" i="7"/>
  <c r="I29" i="7"/>
  <c r="M29" i="7" s="1"/>
  <c r="M48" i="7"/>
  <c r="J48" i="7"/>
  <c r="K48" i="7" s="1"/>
  <c r="I46" i="7"/>
  <c r="M46" i="7" s="1"/>
  <c r="I24" i="7"/>
  <c r="J25" i="7"/>
  <c r="M19" i="7"/>
  <c r="J19" i="7"/>
  <c r="M36" i="7"/>
  <c r="J36" i="7"/>
  <c r="M61" i="7"/>
  <c r="J61" i="7"/>
  <c r="K61" i="7" s="1"/>
  <c r="J67" i="7"/>
  <c r="I66" i="7"/>
  <c r="M66" i="7" s="1"/>
  <c r="M62" i="7"/>
  <c r="J62" i="7"/>
  <c r="K62" i="7" s="1"/>
  <c r="M22" i="7"/>
  <c r="J22" i="7"/>
  <c r="K22" i="7" s="1"/>
  <c r="M67" i="7"/>
  <c r="M32" i="7"/>
  <c r="M24" i="7"/>
  <c r="M25" i="7"/>
  <c r="I18" i="7"/>
  <c r="M18" i="7" s="1"/>
  <c r="H69" i="7"/>
  <c r="P66" i="4"/>
  <c r="H66" i="4"/>
  <c r="I65" i="4"/>
  <c r="M65" i="4"/>
  <c r="AC65" i="4"/>
  <c r="AC64" i="4"/>
  <c r="AB31" i="4"/>
  <c r="Z64" i="4"/>
  <c r="Z65" i="4"/>
  <c r="U4" i="4"/>
  <c r="V4" i="4" s="1"/>
  <c r="U5" i="4"/>
  <c r="V5" i="4" s="1"/>
  <c r="U6" i="4"/>
  <c r="U7" i="4"/>
  <c r="U8" i="4"/>
  <c r="U9" i="4"/>
  <c r="U10" i="4"/>
  <c r="V10" i="4" s="1"/>
  <c r="U11" i="4"/>
  <c r="V11" i="4" s="1"/>
  <c r="U12" i="4"/>
  <c r="V12" i="4" s="1"/>
  <c r="U13" i="4"/>
  <c r="V13" i="4" s="1"/>
  <c r="U14" i="4"/>
  <c r="V14" i="4" s="1"/>
  <c r="U15" i="4"/>
  <c r="V15" i="4" s="1"/>
  <c r="U16" i="4"/>
  <c r="V16" i="4" s="1"/>
  <c r="U17" i="4"/>
  <c r="V17" i="4" s="1"/>
  <c r="U18" i="4"/>
  <c r="U19" i="4"/>
  <c r="V19" i="4" s="1"/>
  <c r="U20" i="4"/>
  <c r="U21" i="4"/>
  <c r="U22" i="4"/>
  <c r="V22" i="4" s="1"/>
  <c r="U23" i="4"/>
  <c r="V23" i="4" s="1"/>
  <c r="U24" i="4"/>
  <c r="U25" i="4"/>
  <c r="V25" i="4" s="1"/>
  <c r="U26" i="4"/>
  <c r="V26" i="4" s="1"/>
  <c r="U27" i="4"/>
  <c r="V27" i="4" s="1"/>
  <c r="U28" i="4"/>
  <c r="V28" i="4" s="1"/>
  <c r="U29" i="4"/>
  <c r="U30" i="4"/>
  <c r="U31" i="4"/>
  <c r="U32" i="4"/>
  <c r="V32" i="4" s="1"/>
  <c r="U33" i="4"/>
  <c r="V33" i="4" s="1"/>
  <c r="U34" i="4"/>
  <c r="U35" i="4"/>
  <c r="U36" i="4"/>
  <c r="V36" i="4" s="1"/>
  <c r="U37" i="4"/>
  <c r="V37" i="4" s="1"/>
  <c r="U38" i="4"/>
  <c r="U39" i="4"/>
  <c r="U40" i="4"/>
  <c r="V40" i="4" s="1"/>
  <c r="U41" i="4"/>
  <c r="V41" i="4" s="1"/>
  <c r="U42" i="4"/>
  <c r="V42" i="4" s="1"/>
  <c r="U43" i="4"/>
  <c r="U44" i="4"/>
  <c r="V44" i="4" s="1"/>
  <c r="U45" i="4"/>
  <c r="V45" i="4" s="1"/>
  <c r="U46" i="4"/>
  <c r="U47" i="4"/>
  <c r="U48" i="4"/>
  <c r="U49" i="4"/>
  <c r="U50" i="4"/>
  <c r="U51" i="4"/>
  <c r="U52" i="4"/>
  <c r="U53" i="4"/>
  <c r="U54" i="4"/>
  <c r="U55" i="4"/>
  <c r="U56" i="4"/>
  <c r="U57" i="4"/>
  <c r="U58" i="4"/>
  <c r="U59" i="4"/>
  <c r="U60" i="4"/>
  <c r="U61" i="4"/>
  <c r="U62" i="4"/>
  <c r="U63" i="4"/>
  <c r="U64" i="4"/>
  <c r="V64" i="4" s="1"/>
  <c r="U65" i="4"/>
  <c r="V65" i="4" s="1"/>
  <c r="U66" i="4"/>
  <c r="U3" i="4"/>
  <c r="V3" i="4" s="1"/>
  <c r="K46" i="7" l="1"/>
  <c r="N67" i="7"/>
  <c r="K67" i="7"/>
  <c r="K20" i="7"/>
  <c r="J34" i="7"/>
  <c r="N34" i="7" s="1"/>
  <c r="K36" i="7"/>
  <c r="K34" i="7" s="1"/>
  <c r="J18" i="7"/>
  <c r="N18" i="7" s="1"/>
  <c r="K19" i="7"/>
  <c r="K18" i="7" s="1"/>
  <c r="J29" i="7"/>
  <c r="N29" i="7" s="1"/>
  <c r="K32" i="7"/>
  <c r="K29" i="7" s="1"/>
  <c r="J24" i="7"/>
  <c r="N24" i="7" s="1"/>
  <c r="K25" i="7"/>
  <c r="K24" i="7" s="1"/>
  <c r="J66" i="7"/>
  <c r="N66" i="7" s="1"/>
  <c r="K66" i="7"/>
  <c r="J46" i="7"/>
  <c r="N46" i="7" s="1"/>
  <c r="J20" i="7"/>
  <c r="N20" i="7" s="1"/>
  <c r="I34" i="7"/>
  <c r="M34" i="7" s="1"/>
  <c r="J38" i="6"/>
  <c r="P37" i="6"/>
  <c r="L37" i="6"/>
  <c r="N37" i="6" s="1"/>
  <c r="Y46" i="4" s="1"/>
  <c r="K37" i="6"/>
  <c r="M37" i="6" s="1"/>
  <c r="H37" i="6"/>
  <c r="G37" i="6"/>
  <c r="C37" i="6"/>
  <c r="P36" i="6"/>
  <c r="L36" i="6"/>
  <c r="N36" i="6" s="1"/>
  <c r="Y47" i="4" s="1"/>
  <c r="K36" i="6"/>
  <c r="M36" i="6" s="1"/>
  <c r="H36" i="6"/>
  <c r="G36" i="6"/>
  <c r="C36" i="6"/>
  <c r="P35" i="6"/>
  <c r="L35" i="6"/>
  <c r="K35" i="6"/>
  <c r="M35" i="6" s="1"/>
  <c r="H35" i="6"/>
  <c r="G35" i="6"/>
  <c r="C35" i="6"/>
  <c r="P34" i="6"/>
  <c r="L34" i="6"/>
  <c r="N34" i="6" s="1"/>
  <c r="Y38" i="4" s="1"/>
  <c r="K34" i="6"/>
  <c r="M34" i="6" s="1"/>
  <c r="H34" i="6"/>
  <c r="G34" i="6"/>
  <c r="C34" i="6"/>
  <c r="P33" i="6"/>
  <c r="L33" i="6"/>
  <c r="N33" i="6" s="1"/>
  <c r="Y24" i="4" s="1"/>
  <c r="K33" i="6"/>
  <c r="M33" i="6" s="1"/>
  <c r="H33" i="6"/>
  <c r="G33" i="6"/>
  <c r="C33" i="6"/>
  <c r="P32" i="6"/>
  <c r="L32" i="6"/>
  <c r="N32" i="6" s="1"/>
  <c r="Y34" i="4" s="1"/>
  <c r="K32" i="6"/>
  <c r="M32" i="6" s="1"/>
  <c r="H32" i="6"/>
  <c r="G32" i="6"/>
  <c r="C32" i="6"/>
  <c r="M31" i="6"/>
  <c r="L31" i="6"/>
  <c r="N31" i="6" s="1"/>
  <c r="Y7" i="4" s="1"/>
  <c r="F31" i="6"/>
  <c r="G31" i="6" s="1"/>
  <c r="C31" i="6"/>
  <c r="M30" i="6"/>
  <c r="O30" i="6" s="1"/>
  <c r="AB8" i="4" s="1"/>
  <c r="L30" i="6"/>
  <c r="N30" i="6" s="1"/>
  <c r="Y8" i="4" s="1"/>
  <c r="F30" i="6"/>
  <c r="G30" i="6" s="1"/>
  <c r="C30" i="6"/>
  <c r="M29" i="6"/>
  <c r="O29" i="6" s="1"/>
  <c r="AB43" i="4" s="1"/>
  <c r="L29" i="6"/>
  <c r="N29" i="6" s="1"/>
  <c r="Y43" i="4" s="1"/>
  <c r="F29" i="6"/>
  <c r="H29" i="6" s="1"/>
  <c r="I29" i="6" s="1"/>
  <c r="V43" i="4" s="1"/>
  <c r="C29" i="6"/>
  <c r="P28" i="6"/>
  <c r="M28" i="6"/>
  <c r="L28" i="6"/>
  <c r="K28" i="6"/>
  <c r="H28" i="6"/>
  <c r="G28" i="6"/>
  <c r="C28" i="6"/>
  <c r="P27" i="6"/>
  <c r="L27" i="6"/>
  <c r="N27" i="6" s="1"/>
  <c r="Y50" i="4" s="1"/>
  <c r="K27" i="6"/>
  <c r="M27" i="6" s="1"/>
  <c r="H27" i="6"/>
  <c r="G27" i="6"/>
  <c r="C27" i="6"/>
  <c r="P26" i="6"/>
  <c r="L26" i="6"/>
  <c r="K26" i="6"/>
  <c r="M26" i="6" s="1"/>
  <c r="O26" i="6" s="1"/>
  <c r="AB51" i="4" s="1"/>
  <c r="H26" i="6"/>
  <c r="I26" i="6" s="1"/>
  <c r="V51" i="4" s="1"/>
  <c r="G26" i="6"/>
  <c r="C26" i="6"/>
  <c r="P25" i="6"/>
  <c r="L25" i="6"/>
  <c r="N25" i="6" s="1"/>
  <c r="Y52" i="4" s="1"/>
  <c r="K25" i="6"/>
  <c r="M25" i="6" s="1"/>
  <c r="H25" i="6"/>
  <c r="G25" i="6"/>
  <c r="C25" i="6"/>
  <c r="P24" i="6"/>
  <c r="L24" i="6"/>
  <c r="K24" i="6"/>
  <c r="M24" i="6" s="1"/>
  <c r="O24" i="6" s="1"/>
  <c r="AB53" i="4" s="1"/>
  <c r="H24" i="6"/>
  <c r="G24" i="6"/>
  <c r="C24" i="6"/>
  <c r="P23" i="6"/>
  <c r="L23" i="6"/>
  <c r="N23" i="6" s="1"/>
  <c r="Y54" i="4" s="1"/>
  <c r="K23" i="6"/>
  <c r="M23" i="6" s="1"/>
  <c r="H23" i="6"/>
  <c r="G23" i="6"/>
  <c r="C23" i="6"/>
  <c r="P22" i="6"/>
  <c r="L22" i="6"/>
  <c r="K22" i="6"/>
  <c r="M22" i="6" s="1"/>
  <c r="H22" i="6"/>
  <c r="I22" i="6" s="1"/>
  <c r="V55" i="4" s="1"/>
  <c r="G22" i="6"/>
  <c r="C22" i="6"/>
  <c r="P21" i="6"/>
  <c r="L21" i="6"/>
  <c r="N21" i="6" s="1"/>
  <c r="Y56" i="4" s="1"/>
  <c r="K21" i="6"/>
  <c r="M21" i="6" s="1"/>
  <c r="H21" i="6"/>
  <c r="G21" i="6"/>
  <c r="Q21" i="6" s="1"/>
  <c r="C21" i="6"/>
  <c r="P20" i="6"/>
  <c r="L20" i="6"/>
  <c r="N20" i="6" s="1"/>
  <c r="Y57" i="4" s="1"/>
  <c r="K20" i="6"/>
  <c r="M20" i="6" s="1"/>
  <c r="H20" i="6"/>
  <c r="G20" i="6"/>
  <c r="C20" i="6"/>
  <c r="P19" i="6"/>
  <c r="L19" i="6"/>
  <c r="N19" i="6" s="1"/>
  <c r="Y58" i="4" s="1"/>
  <c r="K19" i="6"/>
  <c r="M19" i="6" s="1"/>
  <c r="H19" i="6"/>
  <c r="G19" i="6"/>
  <c r="C19" i="6"/>
  <c r="P18" i="6"/>
  <c r="L18" i="6"/>
  <c r="N18" i="6" s="1"/>
  <c r="K18" i="6"/>
  <c r="M18" i="6" s="1"/>
  <c r="O18" i="6" s="1"/>
  <c r="H18" i="6"/>
  <c r="G18" i="6"/>
  <c r="C18" i="6"/>
  <c r="P17" i="6"/>
  <c r="L17" i="6"/>
  <c r="N17" i="6" s="1"/>
  <c r="K17" i="6"/>
  <c r="M17" i="6" s="1"/>
  <c r="H17" i="6"/>
  <c r="G17" i="6"/>
  <c r="C17" i="6"/>
  <c r="P16" i="6"/>
  <c r="L16" i="6"/>
  <c r="K16" i="6"/>
  <c r="M16" i="6" s="1"/>
  <c r="O16" i="6" s="1"/>
  <c r="AB29" i="4" s="1"/>
  <c r="H16" i="6"/>
  <c r="G16" i="6"/>
  <c r="C16" i="6"/>
  <c r="P15" i="6"/>
  <c r="L15" i="6"/>
  <c r="N15" i="6" s="1"/>
  <c r="Y30" i="4" s="1"/>
  <c r="K15" i="6"/>
  <c r="M15" i="6" s="1"/>
  <c r="H15" i="6"/>
  <c r="G15" i="6"/>
  <c r="C15" i="6"/>
  <c r="P14" i="6"/>
  <c r="L14" i="6"/>
  <c r="K14" i="6"/>
  <c r="M14" i="6" s="1"/>
  <c r="O14" i="6" s="1"/>
  <c r="H14" i="6"/>
  <c r="G14" i="6"/>
  <c r="C14" i="6"/>
  <c r="P13" i="6"/>
  <c r="L13" i="6"/>
  <c r="N13" i="6" s="1"/>
  <c r="Y59" i="4" s="1"/>
  <c r="K13" i="6"/>
  <c r="M13" i="6" s="1"/>
  <c r="H13" i="6"/>
  <c r="G13" i="6"/>
  <c r="C13" i="6"/>
  <c r="P12" i="6"/>
  <c r="L12" i="6"/>
  <c r="K12" i="6"/>
  <c r="M12" i="6" s="1"/>
  <c r="O12" i="6" s="1"/>
  <c r="AB60" i="4" s="1"/>
  <c r="H12" i="6"/>
  <c r="G12" i="6"/>
  <c r="C12" i="6"/>
  <c r="P11" i="6"/>
  <c r="L11" i="6"/>
  <c r="N11" i="6" s="1"/>
  <c r="Y62" i="4" s="1"/>
  <c r="K11" i="6"/>
  <c r="M11" i="6" s="1"/>
  <c r="H11" i="6"/>
  <c r="G11" i="6"/>
  <c r="C11" i="6"/>
  <c r="P10" i="6"/>
  <c r="L10" i="6"/>
  <c r="K10" i="6"/>
  <c r="M10" i="6" s="1"/>
  <c r="H10" i="6"/>
  <c r="G10" i="6"/>
  <c r="C10" i="6"/>
  <c r="P9" i="6"/>
  <c r="L9" i="6"/>
  <c r="N9" i="6" s="1"/>
  <c r="Y6" i="4" s="1"/>
  <c r="K9" i="6"/>
  <c r="M9" i="6" s="1"/>
  <c r="H9" i="6"/>
  <c r="G9" i="6"/>
  <c r="C9" i="6"/>
  <c r="P8" i="6"/>
  <c r="L8" i="6"/>
  <c r="K8" i="6"/>
  <c r="M8" i="6" s="1"/>
  <c r="H8" i="6"/>
  <c r="G8" i="6"/>
  <c r="C8" i="6"/>
  <c r="P7" i="6"/>
  <c r="L7" i="6"/>
  <c r="N7" i="6" s="1"/>
  <c r="Y66" i="4" s="1"/>
  <c r="K7" i="6"/>
  <c r="M7" i="6" s="1"/>
  <c r="H7" i="6"/>
  <c r="G7" i="6"/>
  <c r="C7" i="6"/>
  <c r="P6" i="6"/>
  <c r="L6" i="6"/>
  <c r="K6" i="6"/>
  <c r="M6" i="6" s="1"/>
  <c r="H6" i="6"/>
  <c r="G6" i="6"/>
  <c r="C6" i="6"/>
  <c r="P5" i="6"/>
  <c r="L5" i="6"/>
  <c r="N5" i="6" s="1"/>
  <c r="Y39" i="4" s="1"/>
  <c r="K5" i="6"/>
  <c r="M5" i="6" s="1"/>
  <c r="H5" i="6"/>
  <c r="I5" i="6" s="1"/>
  <c r="V39" i="4" s="1"/>
  <c r="G5" i="6"/>
  <c r="Q5" i="6" s="1"/>
  <c r="C5" i="6"/>
  <c r="P4" i="6"/>
  <c r="L4" i="6"/>
  <c r="N4" i="6" s="1"/>
  <c r="K4" i="6"/>
  <c r="M4" i="6" s="1"/>
  <c r="H4" i="6"/>
  <c r="G4" i="6"/>
  <c r="C4" i="6"/>
  <c r="P3" i="6"/>
  <c r="L3" i="6"/>
  <c r="N3" i="6" s="1"/>
  <c r="Y9" i="4" s="1"/>
  <c r="K3" i="6"/>
  <c r="M3" i="6" s="1"/>
  <c r="H3" i="6"/>
  <c r="G3" i="6"/>
  <c r="I3" i="6" s="1"/>
  <c r="V9" i="4" s="1"/>
  <c r="C3" i="6"/>
  <c r="K70" i="7" l="1"/>
  <c r="K69" i="7" s="1"/>
  <c r="J69" i="7"/>
  <c r="I70" i="7"/>
  <c r="M38" i="6"/>
  <c r="P38" i="6"/>
  <c r="Q10" i="6"/>
  <c r="L38" i="6"/>
  <c r="I9" i="6"/>
  <c r="V6" i="4" s="1"/>
  <c r="Q14" i="6"/>
  <c r="K38" i="6"/>
  <c r="R10" i="6"/>
  <c r="R28" i="6"/>
  <c r="I8" i="6"/>
  <c r="V61" i="4" s="1"/>
  <c r="I12" i="6"/>
  <c r="V60" i="4" s="1"/>
  <c r="R6" i="6"/>
  <c r="I4" i="6"/>
  <c r="V35" i="4" s="1"/>
  <c r="Q35" i="6"/>
  <c r="I21" i="6"/>
  <c r="V56" i="4" s="1"/>
  <c r="I25" i="6"/>
  <c r="V52" i="4" s="1"/>
  <c r="Q16" i="6"/>
  <c r="Q24" i="6"/>
  <c r="Q32" i="6"/>
  <c r="I6" i="6"/>
  <c r="V18" i="4" s="1"/>
  <c r="I10" i="6"/>
  <c r="V63" i="4" s="1"/>
  <c r="I23" i="6"/>
  <c r="V54" i="4" s="1"/>
  <c r="Q28" i="6"/>
  <c r="R22" i="6"/>
  <c r="Q17" i="6"/>
  <c r="Q26" i="6"/>
  <c r="R8" i="6"/>
  <c r="N14" i="6"/>
  <c r="Y31" i="4" s="1"/>
  <c r="Q15" i="6"/>
  <c r="I20" i="6"/>
  <c r="V57" i="4" s="1"/>
  <c r="G29" i="6"/>
  <c r="Q29" i="6" s="1"/>
  <c r="R33" i="6"/>
  <c r="I37" i="6"/>
  <c r="V46" i="4" s="1"/>
  <c r="R20" i="6"/>
  <c r="I24" i="6"/>
  <c r="V53" i="4" s="1"/>
  <c r="I28" i="6"/>
  <c r="V49" i="4" s="1"/>
  <c r="I32" i="6"/>
  <c r="V34" i="4" s="1"/>
  <c r="Q36" i="6"/>
  <c r="R37" i="6"/>
  <c r="R4" i="6"/>
  <c r="N16" i="6"/>
  <c r="Y29" i="4" s="1"/>
  <c r="I7" i="6"/>
  <c r="V66" i="4" s="1"/>
  <c r="Q8" i="6"/>
  <c r="Q12" i="6"/>
  <c r="Q19" i="6"/>
  <c r="I13" i="6"/>
  <c r="V59" i="4" s="1"/>
  <c r="I34" i="6"/>
  <c r="V38" i="4" s="1"/>
  <c r="Q3" i="6"/>
  <c r="I11" i="6"/>
  <c r="V62" i="4" s="1"/>
  <c r="I27" i="6"/>
  <c r="V50" i="4" s="1"/>
  <c r="I33" i="6"/>
  <c r="V24" i="4" s="1"/>
  <c r="R35" i="6"/>
  <c r="N12" i="6"/>
  <c r="Y60" i="4" s="1"/>
  <c r="Q13" i="6"/>
  <c r="N28" i="6"/>
  <c r="Y49" i="4" s="1"/>
  <c r="H31" i="6"/>
  <c r="I31" i="6" s="1"/>
  <c r="V7" i="4" s="1"/>
  <c r="Q6" i="6"/>
  <c r="N10" i="6"/>
  <c r="Y63" i="4" s="1"/>
  <c r="Q11" i="6"/>
  <c r="I18" i="6"/>
  <c r="V20" i="4" s="1"/>
  <c r="I19" i="6"/>
  <c r="V58" i="4" s="1"/>
  <c r="Q22" i="6"/>
  <c r="N26" i="6"/>
  <c r="Y51" i="4" s="1"/>
  <c r="Q27" i="6"/>
  <c r="I36" i="6"/>
  <c r="V47" i="4" s="1"/>
  <c r="Q4" i="6"/>
  <c r="N8" i="6"/>
  <c r="Y61" i="4" s="1"/>
  <c r="Q9" i="6"/>
  <c r="I16" i="6"/>
  <c r="V29" i="4" s="1"/>
  <c r="I17" i="6"/>
  <c r="V21" i="4" s="1"/>
  <c r="Q20" i="6"/>
  <c r="N24" i="6"/>
  <c r="Y53" i="4" s="1"/>
  <c r="Q25" i="6"/>
  <c r="I35" i="6"/>
  <c r="V48" i="4" s="1"/>
  <c r="N6" i="6"/>
  <c r="Q7" i="6"/>
  <c r="I14" i="6"/>
  <c r="V31" i="4" s="1"/>
  <c r="I15" i="6"/>
  <c r="V30" i="4" s="1"/>
  <c r="Q18" i="6"/>
  <c r="N22" i="6"/>
  <c r="Y55" i="4" s="1"/>
  <c r="Q23" i="6"/>
  <c r="Q34" i="6"/>
  <c r="O9" i="6"/>
  <c r="AB6" i="4" s="1"/>
  <c r="R9" i="6"/>
  <c r="O25" i="6"/>
  <c r="AB52" i="4" s="1"/>
  <c r="R25" i="6"/>
  <c r="O7" i="6"/>
  <c r="AB66" i="4" s="1"/>
  <c r="R7" i="6"/>
  <c r="O23" i="6"/>
  <c r="AB54" i="4" s="1"/>
  <c r="R23" i="6"/>
  <c r="R32" i="6"/>
  <c r="O32" i="6"/>
  <c r="AB34" i="4" s="1"/>
  <c r="O5" i="6"/>
  <c r="AB39" i="4" s="1"/>
  <c r="R5" i="6"/>
  <c r="O3" i="6"/>
  <c r="AB9" i="4" s="1"/>
  <c r="R3" i="6"/>
  <c r="R31" i="6"/>
  <c r="O15" i="6"/>
  <c r="AB30" i="4" s="1"/>
  <c r="R15" i="6"/>
  <c r="O21" i="6"/>
  <c r="AB56" i="4" s="1"/>
  <c r="R21" i="6"/>
  <c r="O19" i="6"/>
  <c r="AB58" i="4" s="1"/>
  <c r="R19" i="6"/>
  <c r="O36" i="6"/>
  <c r="AB47" i="4" s="1"/>
  <c r="R36" i="6"/>
  <c r="O13" i="6"/>
  <c r="AB59" i="4" s="1"/>
  <c r="R13" i="6"/>
  <c r="R34" i="6"/>
  <c r="O34" i="6"/>
  <c r="AB38" i="4" s="1"/>
  <c r="Q30" i="6"/>
  <c r="R30" i="6"/>
  <c r="Q31" i="6"/>
  <c r="O17" i="6"/>
  <c r="R17" i="6"/>
  <c r="O11" i="6"/>
  <c r="AB62" i="4" s="1"/>
  <c r="R11" i="6"/>
  <c r="O27" i="6"/>
  <c r="AB50" i="4" s="1"/>
  <c r="R27" i="6"/>
  <c r="O4" i="6"/>
  <c r="O6" i="6"/>
  <c r="O8" i="6"/>
  <c r="AB61" i="4" s="1"/>
  <c r="O10" i="6"/>
  <c r="AB63" i="4" s="1"/>
  <c r="O20" i="6"/>
  <c r="AB57" i="4" s="1"/>
  <c r="O28" i="6"/>
  <c r="AB49" i="4" s="1"/>
  <c r="O35" i="6"/>
  <c r="AB48" i="4" s="1"/>
  <c r="O37" i="6"/>
  <c r="AB46" i="4" s="1"/>
  <c r="H30" i="6"/>
  <c r="I30" i="6" s="1"/>
  <c r="V8" i="4" s="1"/>
  <c r="O31" i="6"/>
  <c r="AB7" i="4" s="1"/>
  <c r="O22" i="6"/>
  <c r="AB55" i="4" s="1"/>
  <c r="N35" i="6"/>
  <c r="Y48" i="4" s="1"/>
  <c r="O33" i="6"/>
  <c r="AB24" i="4" s="1"/>
  <c r="R12" i="6"/>
  <c r="R14" i="6"/>
  <c r="R16" i="6"/>
  <c r="R18" i="6"/>
  <c r="R24" i="6"/>
  <c r="R26" i="6"/>
  <c r="Q33" i="6"/>
  <c r="Q37" i="6"/>
  <c r="I69" i="7" l="1"/>
  <c r="N38" i="6"/>
  <c r="I38" i="6"/>
  <c r="R29" i="6"/>
  <c r="O38" i="6"/>
  <c r="Q69"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M69" i="4"/>
  <c r="M66" i="4"/>
  <c r="M64" i="4"/>
  <c r="M63" i="4"/>
  <c r="AA63" i="4" s="1"/>
  <c r="AC63" i="4" s="1"/>
  <c r="M62" i="4"/>
  <c r="AA62" i="4" s="1"/>
  <c r="AC62" i="4" s="1"/>
  <c r="M61" i="4"/>
  <c r="AA61" i="4" s="1"/>
  <c r="AC61" i="4" s="1"/>
  <c r="M60" i="4"/>
  <c r="AA60" i="4" s="1"/>
  <c r="AC60" i="4" s="1"/>
  <c r="M59" i="4"/>
  <c r="AA59" i="4" s="1"/>
  <c r="AC59" i="4" s="1"/>
  <c r="M58" i="4"/>
  <c r="AA58" i="4" s="1"/>
  <c r="AC58" i="4" s="1"/>
  <c r="M57" i="4"/>
  <c r="AA57" i="4" s="1"/>
  <c r="AC57" i="4" s="1"/>
  <c r="M56" i="4"/>
  <c r="AA56" i="4" s="1"/>
  <c r="AC56" i="4" s="1"/>
  <c r="M55" i="4"/>
  <c r="AA55" i="4" s="1"/>
  <c r="AC55" i="4" s="1"/>
  <c r="M54" i="4"/>
  <c r="AA54" i="4" s="1"/>
  <c r="AC54" i="4" s="1"/>
  <c r="M53" i="4"/>
  <c r="AA53" i="4" s="1"/>
  <c r="AC53" i="4" s="1"/>
  <c r="M52" i="4"/>
  <c r="AA52" i="4" s="1"/>
  <c r="AC52" i="4" s="1"/>
  <c r="M51" i="4"/>
  <c r="AA51" i="4" s="1"/>
  <c r="AC51" i="4" s="1"/>
  <c r="M50" i="4"/>
  <c r="AA50" i="4" s="1"/>
  <c r="AC50" i="4" s="1"/>
  <c r="M49" i="4"/>
  <c r="AA49" i="4" s="1"/>
  <c r="AC49" i="4" s="1"/>
  <c r="M48" i="4"/>
  <c r="AA48" i="4" s="1"/>
  <c r="AC48" i="4" s="1"/>
  <c r="M47" i="4"/>
  <c r="AA47" i="4" s="1"/>
  <c r="AC47" i="4" s="1"/>
  <c r="M46" i="4"/>
  <c r="AA46" i="4" s="1"/>
  <c r="AC46" i="4" s="1"/>
  <c r="M45" i="4"/>
  <c r="M44" i="4"/>
  <c r="M43" i="4"/>
  <c r="AA43" i="4" s="1"/>
  <c r="AC43" i="4" s="1"/>
  <c r="M42" i="4"/>
  <c r="M41" i="4"/>
  <c r="M40" i="4"/>
  <c r="M39" i="4"/>
  <c r="AA39" i="4" s="1"/>
  <c r="AC39" i="4" s="1"/>
  <c r="M38" i="4"/>
  <c r="AA38" i="4" s="1"/>
  <c r="AC38" i="4" s="1"/>
  <c r="M37" i="4"/>
  <c r="M36" i="4"/>
  <c r="M35" i="4"/>
  <c r="M34" i="4"/>
  <c r="AA34" i="4" s="1"/>
  <c r="AC34" i="4" s="1"/>
  <c r="M33" i="4"/>
  <c r="M32" i="4"/>
  <c r="M31" i="4"/>
  <c r="M30" i="4"/>
  <c r="AA30" i="4" s="1"/>
  <c r="AC30" i="4" s="1"/>
  <c r="M29" i="4"/>
  <c r="AA29" i="4" s="1"/>
  <c r="AC29" i="4" s="1"/>
  <c r="M28" i="4"/>
  <c r="M27" i="4"/>
  <c r="M26" i="4"/>
  <c r="M25" i="4"/>
  <c r="M24" i="4"/>
  <c r="AA24" i="4" s="1"/>
  <c r="AC24" i="4" s="1"/>
  <c r="M23" i="4"/>
  <c r="M22" i="4"/>
  <c r="M21" i="4"/>
  <c r="M20" i="4"/>
  <c r="M19" i="4"/>
  <c r="M18" i="4"/>
  <c r="M17" i="4"/>
  <c r="M16" i="4"/>
  <c r="M15" i="4"/>
  <c r="M14" i="4"/>
  <c r="M13" i="4"/>
  <c r="M12" i="4"/>
  <c r="M11" i="4"/>
  <c r="M10" i="4"/>
  <c r="M9" i="4"/>
  <c r="AA9" i="4" s="1"/>
  <c r="AC9" i="4" s="1"/>
  <c r="M8" i="4"/>
  <c r="AA8" i="4" s="1"/>
  <c r="AC8" i="4" s="1"/>
  <c r="M7" i="4"/>
  <c r="AA7" i="4" s="1"/>
  <c r="AC7" i="4" s="1"/>
  <c r="M6" i="4"/>
  <c r="AA6" i="4" s="1"/>
  <c r="AC6" i="4" s="1"/>
  <c r="M5" i="4"/>
  <c r="M4" i="4"/>
  <c r="M3" i="4"/>
  <c r="I69" i="4"/>
  <c r="I66"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E69" i="4"/>
  <c r="E66" i="4"/>
  <c r="T66" i="4" s="1"/>
  <c r="E65" i="4"/>
  <c r="E64" i="4"/>
  <c r="E63" i="4"/>
  <c r="X63" i="4" s="1"/>
  <c r="Z63" i="4" s="1"/>
  <c r="E62" i="4"/>
  <c r="E61" i="4"/>
  <c r="E60" i="4"/>
  <c r="X60" i="4" s="1"/>
  <c r="Z60" i="4" s="1"/>
  <c r="E59" i="4"/>
  <c r="X59" i="4" s="1"/>
  <c r="Z59" i="4" s="1"/>
  <c r="E58" i="4"/>
  <c r="X58" i="4" s="1"/>
  <c r="Z58" i="4" s="1"/>
  <c r="E57" i="4"/>
  <c r="E56" i="4"/>
  <c r="E55" i="4"/>
  <c r="E54" i="4"/>
  <c r="E53" i="4"/>
  <c r="E52" i="4"/>
  <c r="X52" i="4" s="1"/>
  <c r="Z52" i="4" s="1"/>
  <c r="E51" i="4"/>
  <c r="X51" i="4" s="1"/>
  <c r="Z51" i="4" s="1"/>
  <c r="E50" i="4"/>
  <c r="X50" i="4" s="1"/>
  <c r="Z50" i="4" s="1"/>
  <c r="E49" i="4"/>
  <c r="E48" i="4"/>
  <c r="E47" i="4"/>
  <c r="E46" i="4"/>
  <c r="E45" i="4"/>
  <c r="E44" i="4"/>
  <c r="E43" i="4"/>
  <c r="X43" i="4" s="1"/>
  <c r="Z43" i="4" s="1"/>
  <c r="E42" i="4"/>
  <c r="E41" i="4"/>
  <c r="E40" i="4"/>
  <c r="E39" i="4"/>
  <c r="E38" i="4"/>
  <c r="E37" i="4"/>
  <c r="E36" i="4"/>
  <c r="E35" i="4"/>
  <c r="E34" i="4"/>
  <c r="X34" i="4" s="1"/>
  <c r="Z34" i="4" s="1"/>
  <c r="E33" i="4"/>
  <c r="E32" i="4"/>
  <c r="E31" i="4"/>
  <c r="T31" i="4" s="1"/>
  <c r="W31" i="4" s="1"/>
  <c r="Z31" i="4" s="1"/>
  <c r="AC31" i="4" s="1"/>
  <c r="E30" i="4"/>
  <c r="E29" i="4"/>
  <c r="E28" i="4"/>
  <c r="E27" i="4"/>
  <c r="E26" i="4"/>
  <c r="E25" i="4"/>
  <c r="E24" i="4"/>
  <c r="E23" i="4"/>
  <c r="E22" i="4"/>
  <c r="E21" i="4"/>
  <c r="T21" i="4" s="1"/>
  <c r="W21" i="4" s="1"/>
  <c r="Z21" i="4" s="1"/>
  <c r="AC21" i="4" s="1"/>
  <c r="E20" i="4"/>
  <c r="E19" i="4"/>
  <c r="E18" i="4"/>
  <c r="E17" i="4"/>
  <c r="E16" i="4"/>
  <c r="E15" i="4"/>
  <c r="E14" i="4"/>
  <c r="E13" i="4"/>
  <c r="E12" i="4"/>
  <c r="E11" i="4"/>
  <c r="E10" i="4"/>
  <c r="E9" i="4"/>
  <c r="E8" i="4"/>
  <c r="E7" i="4"/>
  <c r="E6" i="4"/>
  <c r="X6" i="4" s="1"/>
  <c r="Z6" i="4" s="1"/>
  <c r="E5" i="4"/>
  <c r="E4" i="4"/>
  <c r="E3" i="4"/>
  <c r="AA66" i="4" l="1"/>
  <c r="AC66" i="4" s="1"/>
  <c r="X66" i="4"/>
  <c r="Z66" i="4" s="1"/>
  <c r="X9" i="4"/>
  <c r="Z9" i="4" s="1"/>
  <c r="X49" i="4"/>
  <c r="Z49" i="4" s="1"/>
  <c r="X57" i="4"/>
  <c r="Z57" i="4" s="1"/>
  <c r="T61" i="4"/>
  <c r="W61" i="4" s="1"/>
  <c r="X61" i="4"/>
  <c r="Z61" i="4" s="1"/>
  <c r="T29" i="4"/>
  <c r="W29" i="4" s="1"/>
  <c r="X29" i="4"/>
  <c r="Z29" i="4" s="1"/>
  <c r="T53" i="4"/>
  <c r="W53" i="4" s="1"/>
  <c r="X53" i="4"/>
  <c r="Z53" i="4" s="1"/>
  <c r="T30" i="4"/>
  <c r="W30" i="4" s="1"/>
  <c r="X30" i="4"/>
  <c r="Z30" i="4" s="1"/>
  <c r="T38" i="4"/>
  <c r="W38" i="4" s="1"/>
  <c r="X38" i="4"/>
  <c r="Z38" i="4" s="1"/>
  <c r="T46" i="4"/>
  <c r="W46" i="4" s="1"/>
  <c r="X46" i="4"/>
  <c r="Z46" i="4" s="1"/>
  <c r="T54" i="4"/>
  <c r="W54" i="4" s="1"/>
  <c r="X54" i="4"/>
  <c r="Z54" i="4" s="1"/>
  <c r="T62" i="4"/>
  <c r="W62" i="4" s="1"/>
  <c r="X62" i="4"/>
  <c r="Z62" i="4" s="1"/>
  <c r="T7" i="4"/>
  <c r="W7" i="4" s="1"/>
  <c r="X7" i="4"/>
  <c r="Z7" i="4" s="1"/>
  <c r="T39" i="4"/>
  <c r="W39" i="4" s="1"/>
  <c r="X39" i="4"/>
  <c r="Z39" i="4" s="1"/>
  <c r="T47" i="4"/>
  <c r="W47" i="4" s="1"/>
  <c r="X47" i="4"/>
  <c r="Z47" i="4" s="1"/>
  <c r="T55" i="4"/>
  <c r="W55" i="4" s="1"/>
  <c r="X55" i="4"/>
  <c r="Z55" i="4" s="1"/>
  <c r="X8" i="4"/>
  <c r="Z8" i="4" s="1"/>
  <c r="X24" i="4"/>
  <c r="Z24" i="4" s="1"/>
  <c r="X48" i="4"/>
  <c r="Z48" i="4" s="1"/>
  <c r="X56" i="4"/>
  <c r="Z56" i="4" s="1"/>
  <c r="T6" i="4"/>
  <c r="W6" i="4" s="1"/>
  <c r="T63" i="4"/>
  <c r="W63" i="4" s="1"/>
  <c r="T20" i="4"/>
  <c r="W20" i="4" s="1"/>
  <c r="Z20" i="4" s="1"/>
  <c r="AC20" i="4" s="1"/>
  <c r="T52" i="4"/>
  <c r="W52" i="4" s="1"/>
  <c r="T60" i="4"/>
  <c r="W60" i="4" s="1"/>
  <c r="Q67" i="4"/>
  <c r="Q68" i="4" s="1"/>
  <c r="T8" i="4"/>
  <c r="W8" i="4" s="1"/>
  <c r="T56" i="4"/>
  <c r="W56" i="4" s="1"/>
  <c r="T24" i="4"/>
  <c r="W24" i="4" s="1"/>
  <c r="T48" i="4"/>
  <c r="W48" i="4" s="1"/>
  <c r="T35" i="4"/>
  <c r="W35" i="4" s="1"/>
  <c r="Z35" i="4" s="1"/>
  <c r="AC35" i="4" s="1"/>
  <c r="T43" i="4"/>
  <c r="W43" i="4" s="1"/>
  <c r="T51" i="4"/>
  <c r="W51" i="4" s="1"/>
  <c r="T59" i="4"/>
  <c r="W59" i="4" s="1"/>
  <c r="T9" i="4"/>
  <c r="W9" i="4" s="1"/>
  <c r="T49" i="4"/>
  <c r="W49" i="4" s="1"/>
  <c r="T57" i="4"/>
  <c r="W57" i="4" s="1"/>
  <c r="T18" i="4"/>
  <c r="W18" i="4" s="1"/>
  <c r="Z18" i="4" s="1"/>
  <c r="AC18" i="4" s="1"/>
  <c r="T34" i="4"/>
  <c r="W34" i="4" s="1"/>
  <c r="T50" i="4"/>
  <c r="W50" i="4" s="1"/>
  <c r="T58" i="4"/>
  <c r="W58" i="4" s="1"/>
  <c r="W66" i="4"/>
  <c r="E67" i="4"/>
  <c r="E68" i="4" s="1"/>
  <c r="I67" i="4"/>
  <c r="I68" i="4" s="1"/>
  <c r="M67" i="4"/>
  <c r="M68" i="4" s="1"/>
  <c r="Q70" i="4"/>
  <c r="X68" i="4" l="1"/>
  <c r="T68" i="4"/>
  <c r="AA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tc={D366C9E7-25D6-2A40-B137-3460BF68AA5B}</author>
    <author>tc={E81F342B-DE45-EF4D-8A2E-1863A9FB3E96}</author>
    <author>tc={F0E90816-2C5C-C647-BE3F-23C174ADCDDC}</author>
    <author>tc={FB8D08BB-E52E-D948-92A3-3D0DDB4523BB}</author>
    <author>tc={5C7F44FF-F396-5A49-B4E3-CCCA69B21CAB}</author>
    <author>tc={7740D8C1-DF81-E146-9C75-84D9063BB406}</author>
    <author>tc={5E0CBA5C-5DE6-0047-AA01-A8969F473E24}</author>
    <author>tc={56720866-7CAA-D242-B8FE-92366B4B55EB}</author>
  </authors>
  <commentList>
    <comment ref="F7" authorId="0" shapeId="0" xr:uid="{D366C9E7-25D6-2A40-B137-3460BF68AA5B}">
      <text>
        <r>
          <rPr>
            <sz val="12"/>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Summa puudus</t>
        </r>
      </text>
    </comment>
    <comment ref="F14" authorId="1" shapeId="0" xr:uid="{E81F342B-DE45-EF4D-8A2E-1863A9FB3E96}">
      <text>
        <r>
          <rPr>
            <sz val="12"/>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Otsus 15.02: Sel aastal taotleme ainult pool summast. Töö jätkub 2025 aasta</t>
        </r>
      </text>
    </comment>
    <comment ref="F19" authorId="2" shapeId="0" xr:uid="{F0E90816-2C5C-C647-BE3F-23C174ADCDDC}">
      <text>
        <r>
          <rPr>
            <sz val="12"/>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Otsus 15.02: Sel aastal taotleme ainult pool summast. Töö jätkub 2025 aastal</t>
        </r>
      </text>
    </comment>
    <comment ref="F28" authorId="3" shapeId="0" xr:uid="{FB8D08BB-E52E-D948-92A3-3D0DDB4523BB}">
      <text>
        <r>
          <rPr>
            <sz val="12"/>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Otsus 15.02: et sel aasatl taotleme ainult 70% kogusummasts. Tööd jätkuvad 2025 aastal</t>
        </r>
      </text>
    </comment>
    <comment ref="F32" authorId="4" shapeId="0" xr:uid="{5C7F44FF-F396-5A49-B4E3-CCCA69B21CAB}">
      <text>
        <r>
          <rPr>
            <sz val="12"/>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Summa puudus</t>
        </r>
      </text>
    </comment>
    <comment ref="F33" authorId="5" shapeId="0" xr:uid="{7740D8C1-DF81-E146-9C75-84D9063BB406}">
      <text>
        <r>
          <rPr>
            <sz val="12"/>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Summa puudus</t>
        </r>
      </text>
    </comment>
    <comment ref="F34" authorId="6" shapeId="0" xr:uid="{5E0CBA5C-5DE6-0047-AA01-A8969F473E24}">
      <text>
        <r>
          <rPr>
            <sz val="12"/>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Summa puudus</t>
        </r>
      </text>
    </comment>
    <comment ref="F36" authorId="7" shapeId="0" xr:uid="{56720866-7CAA-D242-B8FE-92366B4B55EB}">
      <text>
        <r>
          <rPr>
            <sz val="12"/>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Otsus 15.02: et sel aasatl taotleme ainult 20% kogusummast</t>
        </r>
      </text>
    </comment>
  </commentList>
</comments>
</file>

<file path=xl/sharedStrings.xml><?xml version="1.0" encoding="utf-8"?>
<sst xmlns="http://schemas.openxmlformats.org/spreadsheetml/2006/main" count="619" uniqueCount="368">
  <si>
    <t>Otsusetoe andmekoonduri arendus seoses TIS dokumentide viimisega uuele platvormile</t>
  </si>
  <si>
    <t>PROJ-3012</t>
  </si>
  <si>
    <t>Kuulub LISA 2 koosseisu</t>
  </si>
  <si>
    <t>I poolaasta (km-ta)</t>
  </si>
  <si>
    <t>II poolaasta (km-ta)</t>
  </si>
  <si>
    <t>PROJ-3459 upTIS platvormitööde ja sündmuspõhise andmevahetuse eeldustööde turvatestimine</t>
  </si>
  <si>
    <t>PROJ-3631 Haiglaravimite digitaliseerimine (2024)</t>
  </si>
  <si>
    <t>PROJ-3468 Teavitused ja meeldetuletused terviseportaalis 2024</t>
  </si>
  <si>
    <t>PROJ-3620 Andmevaaturi ületoomine TJT-sse (2024)</t>
  </si>
  <si>
    <t>PROJ-3622 Ravimiskeemi mikroteenus tervisejuhtimise töölaual (2024)</t>
  </si>
  <si>
    <t>PROJ-3793 Patsiendi üldandmete teenuse jätkuarendustööd (2024)</t>
  </si>
  <si>
    <t>PROJ-3455 Uue põlvkonna tervise infosüsteemi hooldus- ja väikearendustööd 2024</t>
  </si>
  <si>
    <t>PROJ-3611 TIS WM platvormilt retseptikeskuse integratsiooni üleviimine mikroteenuste platvormile</t>
  </si>
  <si>
    <t>PROJ-3612 TIS WM platvormilt terminoloogia teenuste üleviimine mikroteenuste platvormile</t>
  </si>
  <si>
    <t>PROJ-3613 TIS WM platvormilt hambaravi teenuste üleviimine mikroteenuste platvormile</t>
  </si>
  <si>
    <t>PROJ-3614 TIS WM platvormilt tervisekontrolli teenuste üleviimine mikroteenuste platvormile</t>
  </si>
  <si>
    <t>PROJ-3615 TIS WM platvormilt SKA TSK teenuse üleviimine mikroteenuste platvormile</t>
  </si>
  <si>
    <t>PROJ-3616 TIS WM platvormilt uue eKiirabi lahenduse jaoks vajalike WM pakettide üle viimine mikroteenuste platvormile</t>
  </si>
  <si>
    <t>PROJ-3667 Tervisetõendite funktsionaalsuse üleviimine uuele platvormile (lõpetamine)</t>
  </si>
  <si>
    <t>PROJ-3668 Otsusetoe andmekoonduri arendus seoses TIS dokumentide viimisega uuele platvormile</t>
  </si>
  <si>
    <t>PROJ-3758 Sündmuspõhise andmevahetuse raames teenuste loomist ja kasutuselevõtmist toetava kompetentsi tõstmine</t>
  </si>
  <si>
    <t>PROJ-3457 Tervise infosüsteemi nõusolekuteenuse jätkuarendustööd 2024</t>
  </si>
  <si>
    <t>PROJ-3463 ÜDR back-end arendustööd 2024</t>
  </si>
  <si>
    <t>PROJ-3467 Ambulatoorsete analüüside tellimuste suunamised TIS-i 2024</t>
  </si>
  <si>
    <t>PROJ-3594 Analüüsi- ja arendustööd upTIS raames andmete integratsioonimudeli toimima panemiseks</t>
  </si>
  <si>
    <t>PROJ-3608 Juurdepääsuõiguste moodularendused</t>
  </si>
  <si>
    <t>PROJ-3609 FHIR kasutuselevõtmiseks vajalike tehniliste eelduste täitmine</t>
  </si>
  <si>
    <t>PROJ-3610 Andmekaitsealase mõjuhinnangu koostamine TIS pre-live keskkonnas testide läbiviimiseks</t>
  </si>
  <si>
    <t>PROJ-3708 Andmeladude poolsed tööd seoses terviseandmete migreerimisega upTIS platvormile</t>
  </si>
  <si>
    <t>PROJ-3806 Tervisekassa andmelao loomine TEHIKusse</t>
  </si>
  <si>
    <t>PROJ-3825 ÜDR kasutajaliidese arendustööd Terviseportaalis 2024</t>
  </si>
  <si>
    <t>PROJ-3575 Koostöö võimestamine 2024</t>
  </si>
  <si>
    <t>PROJ-3618 Strateegia väljatöötamine registrite TIS andmekasutuse-põhiseks viimiseks</t>
  </si>
  <si>
    <t>PROJ-3619 Valmisoleku loomine struktureeritud vähiandmete kogumiseks tervise infosüsteemi</t>
  </si>
  <si>
    <t>PROJ-3831 Terviseportaali sisuhaldusega maandumislehe arendus 2024</t>
  </si>
  <si>
    <t>PROJ-3816 Perearsti kvaliteedisüsteemi (PKS) IT lahendus</t>
  </si>
  <si>
    <t>Andmekorraldus_Andmekvaliteet</t>
  </si>
  <si>
    <t>Andmekorraldus_Infomudelid</t>
  </si>
  <si>
    <t>PROJ-3500 FHIR haldus ja profileerimine 2024</t>
  </si>
  <si>
    <t>PROJ-3873 Tervise valdkonna metandmestiku ökosüsteemi haldus 2024</t>
  </si>
  <si>
    <t>Andmekorraldus_Ravimiandmed</t>
  </si>
  <si>
    <t>Andmekorraldus_Snomed</t>
  </si>
  <si>
    <t>Eluanamnees</t>
  </si>
  <si>
    <t>Kliinilised otsusetoed</t>
  </si>
  <si>
    <t>Registrid + Tervisestatistika</t>
  </si>
  <si>
    <t>Suunamised</t>
  </si>
  <si>
    <t>Teabekeskus</t>
  </si>
  <si>
    <t>Tervisejuhtimise töölaud</t>
  </si>
  <si>
    <t>Terviseportaal</t>
  </si>
  <si>
    <t>Üleriigiline Digiregistratuur (ÜDR)</t>
  </si>
  <si>
    <t>upTIS aluspõhimõtted</t>
  </si>
  <si>
    <t>upTIS planeerimine</t>
  </si>
  <si>
    <t>upTIS platvorm</t>
  </si>
  <si>
    <t>Uus Andmeladu</t>
  </si>
  <si>
    <t>Tööjõukulu</t>
  </si>
  <si>
    <t>Kvartal 1</t>
  </si>
  <si>
    <r>
      <t xml:space="preserve">Tootetiim 
       </t>
    </r>
    <r>
      <rPr>
        <sz val="11"/>
        <color theme="1"/>
        <rFont val="Raleway Regular"/>
      </rPr>
      <t>Investeeringu täpsustus</t>
    </r>
  </si>
  <si>
    <t>Kommentaar</t>
  </si>
  <si>
    <t>Kvartal 2</t>
  </si>
  <si>
    <t>Kvartal 3</t>
  </si>
  <si>
    <t>Kvartal 4</t>
  </si>
  <si>
    <t>PROJ-3571 Tervise valdkonna metandmestiku ökosüsteemi arendustööd 2024 (20% OF)</t>
  </si>
  <si>
    <t>PROJ-3572 Relatsioonilise metaandmestiku ökosüsteemi arendus- ja haldustööd 2024 (20% OF)</t>
  </si>
  <si>
    <t>Tööjõukulu kokku (PEX)</t>
  </si>
  <si>
    <t>Investeering (CAPEX)</t>
  </si>
  <si>
    <t>Investeeringu maht ja vajadus täpsustub 06.2024</t>
  </si>
  <si>
    <t>Key</t>
  </si>
  <si>
    <t>Summary</t>
  </si>
  <si>
    <t>Key + Summary</t>
  </si>
  <si>
    <t>Assignee</t>
  </si>
  <si>
    <t>Omanik (PROJ)</t>
  </si>
  <si>
    <t>Aasta eelarve (km-ta)</t>
  </si>
  <si>
    <t>Aasta eelarve (km-ta)-% korrektuur</t>
  </si>
  <si>
    <t>Aasta eelarve (km-ga)</t>
  </si>
  <si>
    <t>Aasta eelarve (km-ga)-% korrektuur</t>
  </si>
  <si>
    <t>I poolaasta (km-ta) - % korrektuur</t>
  </si>
  <si>
    <t>II poolaasta (km-ta) - % korrektuur</t>
  </si>
  <si>
    <t>I poolaasta (km-ga)  - % korrektuur</t>
  </si>
  <si>
    <t>II poolaasta (km-ga) - % korrektuur</t>
  </si>
  <si>
    <t>I poolaasta (%)</t>
  </si>
  <si>
    <t>II poolaasta (%)</t>
  </si>
  <si>
    <t>Vajab hanget</t>
  </si>
  <si>
    <t>Description</t>
  </si>
  <si>
    <t>Tegevuse algus</t>
  </si>
  <si>
    <t>I trimestri eesmärgid</t>
  </si>
  <si>
    <t>II trimestri eesmärgid</t>
  </si>
  <si>
    <t>III trimestri eesmärgid</t>
  </si>
  <si>
    <t>Component/s</t>
  </si>
  <si>
    <t>Linked Issues</t>
  </si>
  <si>
    <t>Arenduspartner</t>
  </si>
  <si>
    <t>Last comment</t>
  </si>
  <si>
    <t>PROJ-3873</t>
  </si>
  <si>
    <t>Tervise valdkonna metandmestiku ökosüsteemi haldus 2024</t>
  </si>
  <si>
    <t>Scharlett Hansson</t>
  </si>
  <si>
    <t>Kerli Linna</t>
  </si>
  <si>
    <t>Tervise valdkonna metaandmete kirjeldamise, haldamise ja avaldamise ökosüsteem. Tervise valdkonna teenuste arendamise alustala, kus kirjeldame andmevahetusvormingud, andmekvaliteedi kontrollireeglid, unikaalsed identifikaatorid, loendid ja juurutusjuhendid, haldame nimetatute versioone ning erisusi. Avaldame tervise valdkonna teenuste juurutamiseks vajalikke materjale.  
Peamised keskkonnad:  
# andmekirjelduskeskkond (akk.tehik.eeI 
# terminoloogiaserver (term.tehik.ee/fhir ) 
# avaldamise keskkond (teabekeskus.tehik.ee)  
Dokumentatsioon leitav siit: [Teabekeskuse kodu - Teabekeskus - Sotsiaalministeeriumi wiki (sm.ee)|https://wiki.sm.ee/display/TEAB/Teabekeskuse+kodu]  
2024 aasta eesmärgiks on:  
* klassifikaatorite ja koodiloendite haldusmooduli lõplik lahendus integreeritud teabekeskuse ökosüsteemi 
* tehnilise võla vähendamine, vana monoliitrakenduse mikroteenustele viimine ning platvormi uuendus, et uute põhimõtetega toime tulla 
Seejuures peame hoidma meeles, et ajavahemikus 2021-2023 arendatud süsteeme on oluline ülalhoida, vältimaks olukorda, kus tehnilised võlad kasvavad ülepea ning peame hakkama jälle uusi lahendusi arendama. Peame teenuseid/rakendusi uuendama, parandama koodikvaliteeti, täiustama funktsionaalsusi, vähendama koodisõltuvusi ning teenuste vahelisi sõltuvusi kooditasandil. Automatiseerima võimalikult palju tarneid, protsessides samme ning hoidma teenuseid meeldivatena, et kasutajad juurutaksid ning kasutaksid järjepidevalt.  
Seetõttu on vajadus ka olemasolevate lahenduste/teenuste (andmekirjelduskeskkond ja selle mikroteenused, terminoloogiaserveri liidestused kolmandate osapoolte avaldatud loenditega, avaldamise keskkonna täiustamised ning masinliidesed uute süsteemidega) *halduseks eelarvet: 210 000 eurot (käibemaksuta)*</t>
  </si>
  <si>
    <t>Klassifikaatorite ja koodiloendite haldusmooduli jätkuvad analüüsi- ja arendustööd - TO-BE vaated paika ja vastavalt tuleviku vaadetele arendusetsüklid paika. OID haldusmooduli kasutusele võtmine. 
Andmekirjelduskeskkonna baasi optimeerimine, et saaks akk.tehik.ee brauseri laadimised kiiremaks. XSD teenuse eraldamine vormingute teenusest, et teenuste ristkasutus oleks kiirem ning arusaadavam.</t>
  </si>
  <si>
    <t>HP-92, HP-390, HP-391, TP-515, TP-518, TP-370, TP-516, TP-607, TP-65, PROJ-3571</t>
  </si>
  <si>
    <t>PROJ-3831</t>
  </si>
  <si>
    <t>Terviseportaali sisuhaldusega maandumislehe arendus 2024</t>
  </si>
  <si>
    <t>Kady Adamson</t>
  </si>
  <si>
    <t>Evgeni Nikolaevski</t>
  </si>
  <si>
    <t>Tervisekassa jaoks tuleb luua terviseportaali sisuhaldusega maandumisleht (CMS). 
*Eesmärk* luua sisuhaldussüsteem (ehk veebilehe haldusliides) terviseportaali sisselogimata kasutaja vaadete haldamiseks, mis sisaldab endas mooduleid, tekstiredaktorit jm vajalikku terviseportaali reaalajas haldamiseks. 
*2024 eesmärk:* tuua Tervisekassa kodulehelt inimestele suunatud sisulehed üle terviseportaali. Luua uudistemoodul, menüü mis toetab nt alamkategooriate ja mahukamate sisulehtede loomist ning otsingut.  
Projektiplaan on lõpetamisel ja asub siin: [https://wiki.sm.ee/display/UPP/Sisuhaldusega+maandumislehe+projektiplaan] </t>
  </si>
  <si>
    <t>Kinnitada Tervisekassaga koostöös sisuhaldusega maandumislehe ärilised eesmärgid ning kirjeldada arendusülesanded Terviseportaali arendusmeeskonnale. Hinnata tööde mahtu ning sõlmida tööde teostamiseks eraldiseisev hankeleping Terviseportaali partneritega.</t>
  </si>
  <si>
    <t>PROJ-3464, HP-426</t>
  </si>
  <si>
    <t>Iglu, Industry62</t>
  </si>
  <si>
    <t>PROJ-3825</t>
  </si>
  <si>
    <t>ÜDR kasutajaliidese arendustööd Terviseportaalis 2024</t>
  </si>
  <si>
    <t>ÜDR funktsionaalsuse viimine Terviseportaali. Terviseportaali läheb broneerimine (saatekirja kaudu ja ilma), broneeringu muutmine/tühistamine, ajaleidja funktsionaalsus. 
Uue funktsionaalsuse arendamine vastavalt Tervisekassa otsustele.  
Mikroteenuste arendamine vastavalt terviseportaali vajadustele. </t>
  </si>
  <si>
    <t>Terviseportaalis olemas ÜDR funktsionaalsus - broneerimine, muutmine, tühistamine</t>
  </si>
  <si>
    <t>HP-425, PROJ-3463</t>
  </si>
  <si>
    <t>PROJ-3816</t>
  </si>
  <si>
    <t>Perearsti kvaliteedisüsteemi (PKS) IT lahendus</t>
  </si>
  <si>
    <t>Meelis Tivas</t>
  </si>
  <si>
    <t>&lt;p&gt;28.12. arutelu teema Gerda Joalt&lt;/p&gt;
&lt;p&gt;Tere,&lt;/p&gt;
&lt;p&gt; &lt;/p&gt;
&lt;p&gt;Planeerime jaanuar 2024 välja kuulutada riigihange, et leida toode, mille eesmärk on luua andmepõhine, automaatne Perearsti kvaliteedisüsteem, mis motiveeriks perearste tegelema haiguste ennetustööga, jälgima efektiivsemalt krooniliste haigustega patsiente ja osutama laiapõhjalisi tervishoiuteenuseid.&lt;/p&gt;
&lt;p&gt; &lt;/p&gt;
&lt;p&gt;Kvaliteediindikaatorite põhine süsteem peab aitama perearstil oma tegevust analüüsida ning samuti annab see võimaluse võrrelda oma tulemusi teistega (üleriigiliselt teised perearstikeskused/nimistud), et välja selgitada need valdkonnad, mis enam arendamist vajavad. Kvaliteedi jälgimise indikaatorid on lepitud kokku Eesti Perearstide Seltsi ja Tervisekassa koostöös ja võivad muutuda või täieneda ajas. Süsteemi peamine ülesanne on seada kvaliteetse perearstiabi tunnused/aspektid eesmärgiks ja motiveerida perearstiabi tasandit neid eesmärke täitma - kuna on nii rahaline kui mitterahaline osa ja eesmärk pole eesmärke seada, siis eesmärk on, et patsientidele oleks tagatud võimalikult kvaliteetne arstiabi.&lt;/p&gt;
&lt;p&gt; &lt;/p&gt;
&lt;p&gt;Uue PKSi tarkvara eesmärgiks on, et informatsioon on kättesaadav õigeaegselt, õiges kontekstis ja vormingus ning aitab tervishoiutöötajal tuvastada patsientide ravi puudujääke ning prioritiseerida patsiente ravisekkumise tõenduspõhise kasu põhjal. Lisaks oleks Tervisekassal võimalik jälgida PKS indikaatorite tulemuste hõlmatusi, teha aruandeid ja sellele järgnevaid tegevusi.&lt;/p&gt;
&lt;p&gt; &lt;/p&gt;
&lt;p&gt;PKS IT lahendus peab toetama arstide ja õdede patsiendi käsitlust, nimistuga tööd ja konkreetse patsiendi raviprotsessi korraldamist. IT lahendus peab eelnevast tulenevalt kõige esimese teenusena pakkuma tervishoiutöötajale tuge enda nimistuga töö ülevaateks ning võimaldama minna süvitsi patsientide sihtrühmadega kuni konkreetse patsiendi tasandini.&lt;/p&gt;
&lt;p&gt;Hankemenetluse tulemusel sõlmitava lepingu esemeks on analüütikaplatvorm. Lahendus peab olema kasutatav erinevate liidestustega esmatasandi tervishoiutöötajatele ja Tervisekassa töötajatele.&lt;/p&gt;
&lt;p&gt; &lt;/p&gt;
&lt;p&gt;Täna teame, et turul on 1 pakkuja, Duodecimi toode , mis loob terviklahenduse EBMEDs otsusetoega. Sellest tulenevalt, kui hange õnnestub, oleks &lt;b&gt;soov majutada uus PKS IT-lahendus TEHIKus.&lt;/b&gt; Antud &lt;b&gt;toode teeks päringuid ka läbi Andmekoonduri&lt;/b&gt;. Seega soovime korraldada kohtumise, kus saaksime täpsemalt rääkida 2024a plaanidest üldiselt, st kui tuleb pakkumus, oleksime kõik teadlikud ja saaksime sujuvalt antud projektiga edasi liikuda.&lt;/p&gt;
&lt;p&gt; &lt;/p&gt;
&lt;p&gt;Teemad, mida kohtumisel arutada:&lt;/p&gt;
&lt;p&gt; &lt;/p&gt;
&lt;p&gt;Mis roll on TEHIKul – kes oleks meeskonnas?&lt;/p&gt;
&lt;p&gt;Teenuse arhitektuur ja vajaminevad integratsioonid&lt;/p&gt;
&lt;p&gt;Andmekoonduri täiendamise vajadus&lt;/p&gt;
&lt;p&gt;Võimaliku teenuse lisandumine Tervisejuhtimise töölauda ja Partnerportaali&lt;/p&gt;
&lt;p&gt;Kasutajaliideste valikud (Kibana, Power PI, midagi muud)&lt;/p&gt;
&lt;p&gt;Teenuse majutamine TEHIKus, versioonide uuendamised ning batch-runi´d ehk haldamine – kuidas seda korraldada&lt;/p&gt;
&lt;p&gt; &lt;/p&gt;
&lt;p&gt; &lt;/p&gt;</t>
  </si>
  <si>
    <t>PROJ-3806</t>
  </si>
  <si>
    <t>Tervisekassa andmelao loomine TEHIKusse</t>
  </si>
  <si>
    <t>Rainer Ader</t>
  </si>
  <si>
    <t>PROJ-3708</t>
  </si>
  <si>
    <t>Andmeladude poolsed tööd seoses terviseandmete migreerimisega upTIS platvormile</t>
  </si>
  <si>
    <t>Oleme planeerimas tervise infosüsteemi andmete migratsiooni Oracle andmebaasist PostgreSQL/Minio S3 baaside peale. Migratsiooniks vajalikud eeltööd on Nortali poolt läbi viidud. Peale migratsiooni läbiviimist jätame paralleelkirjutamise Oracle andmebaasi ajaks X veel tööle. Samas peaksime hakkama tegema ettevalmistusi selleks, et ka andmelaod oleksid suutelised upTIS platvormilt terviseandmeid lugema.</t>
  </si>
  <si>
    <t>Täpsema tegevusplaani paika panemine andmeladude poolsete töödega edasi liikumiseks.</t>
  </si>
  <si>
    <t>upTIS</t>
  </si>
  <si>
    <t>HP-468</t>
  </si>
  <si>
    <t>PROJ-3500</t>
  </si>
  <si>
    <t>FHIR haldus ja profileerimine 2024</t>
  </si>
  <si>
    <t>Ragne Õitspuu</t>
  </si>
  <si>
    <t>FHIR profileerimise tegevused: 
- FHIR profileerimine teenuse- või süsteemipõhiselt vastavalt vajadusele; 
- FHIR profileerimise töövahendi litsentsi pikendamine ja koostöö jätkamine profileerimise konsultandiga; 
- Profileerimise töövahendi ja juurutusjuhendite loomise keskkonna analüüs (püüame võimalusel leida litsentsiga tarkvarale alternatiivse vabavaralise lahenduse, ent ei kiirusta veel üleminekuga); 
- Profileerimise, juurutamisjuhendite koostamise ja haldamise protsessi standardiseerimine. 
 </t>
  </si>
  <si>
    <t>Hange: 
- HP-419 - FHIR profileerimise töövahendi kasutuslitsentsi pikendamine ja konsultatsiooniteenuse soetamine 
Profileerimine: 
- TJT Ravimiskeemi profileerimistööde jätkumine 
- POHAK profileerimisega alustamine 
- FHIR Shorthandi õppimine. Eesmärk on 2024. aasta lõpuks selgusele jõuda, millise profileerimistarkvaraga jätkatakse 2025. aastal (kas litsentsiga või vabavaraline tarkvara). 
Teemadesse kaasumine 
- Vastavalt vajadusel UPTISe raames erinevatesse teemadesse kaasumine ja koosolekutel osalemine</t>
  </si>
  <si>
    <t>PROJ-3793</t>
  </si>
  <si>
    <t>Patsiendi üldandmete teenuse jätkuarendustööd (2024)</t>
  </si>
  <si>
    <t>Andry Silla</t>
  </si>
  <si>
    <t>Roman Kostrõkin</t>
  </si>
  <si>
    <t>Ei vaja hanget</t>
  </si>
  <si>
    <t>Patsiendi üldandmete teenuse (PÜT) puhul on plaan olulisel määral mõjutada seda, kuidas tervisevaldkonnas patsientide üldandmeid kogutakse, käsitletakse ja uuendatakse. Teenuse väljatöötamisel on selgunud, et töö on oodatust mahukam ning teatud lisaarendustöid (nt välisriigi kodanike info käsitlemisel) on vaja teha veel ka 2024. aastal.</t>
  </si>
  <si>
    <t>Patsiendi üldandmete teenuse LIVE keskkonda viimine ja sellega seotud testimised (sh koormustestimised). Lisaarendustöödega alustamine teenuse täiendamiseks. Teenuse juurutamiseks töötubade läbiviimine.</t>
  </si>
  <si>
    <t>Vajalikud hooldus- ja lisaarendustööd. Teenuse juurtamine TTO-des.</t>
  </si>
  <si>
    <t>PÜT, upTIS</t>
  </si>
  <si>
    <t>SOMAP-103</t>
  </si>
  <si>
    <t>&lt;p&gt;&lt;a href="https://smjira.sm.ee/secure/ViewProfile.jspa?name=merily.rool" class="user-hover" rel="merily.rool"&gt;Merily Rool&lt;/a&gt; Siin on loomisel viga tekkinud. See ei vaja hanget. Parandasin ära.&lt;/p&gt;</t>
  </si>
  <si>
    <t>PROJ-3758</t>
  </si>
  <si>
    <t>Sündmuspõhise andmevahetuse raames teenuste loomist ja kasutuselevõtmist toetava kompetentsi tõstmine</t>
  </si>
  <si>
    <t>Viljar Pallo</t>
  </si>
  <si>
    <t>Uue põlvkonna tervise infosüsteemi teenused luuakse sündmuspõhise andmevahetuse printsiipe järgides, sh teenustega seotud protsesside analüüs, infomudelite koostamine, FHIR profileerimistööd. HL7 FHIR on mujal riikides laialt levinud andmevahetus standard, kuid Eestis siiski küllalt uus standard, mida sündmuspõhiste teenuste arenduseks kasutada.  Selleks, et teenuste loomist võimestada ning teha seda kvaliteetselt, peame enda nii olemasolevaid inimesi, kui ka uusi tiimi liikmeid harima kõigis väljatoodud aspektides. Selleks plaanime viia läbi majasiseseid koolitusi, kuid peame arvestama ka väliste koolituspartnerite kaasamisega vastavalt vajadusele.  
Harime ennast, võimestame kvaliteetsete teenuste arendust ning seeläbi innustame oma tiimi liikmeid majasiseseid koolitusi juba ise järgnevatel aastatel tegema! 
Teadaolevalt on Eestis põhjalikumalt standardi juurutamisega tegelevaid inimesi on väga vähe, seetõttu on oluline tuua kvaliteetne teadmus väljast poolt Eestit, mis toob endaga kaasa märgatavaid kulusid. Otstarbekamaks raha kasutuseks plaanime mitmepäevast koolitust, kaasates nii TEHIKu inimesi tehnilisema teadmuse omandamiseks ning SOM ja Terk tiimiliikmeid poliitika kujundamiseks. 
Mõistagi tähendab, uue andmevahetus standardiga loodavate teenuste juurutamiseks, keerukust haiglate infosüsteemide arenduspartneritel teenuse juurutusjuhendi lugemisel. Teenuste kvaliteetsemaks juurutamiseks on oluline toetada igat pidi tervishoiuasutusi ja nende arenduspartnereid HL7 FHIR standardi mõistmisel ning uute teenuste juurutamisel. 
Terminoloogiaserveri juurutamisel on juba esinenud soov ja vajadus mitmeteks mitmetunnisteks töötubadeks arenduspartneritele, mis vajavad ressurssi ning pühendumust. Seetõttu on oluline toetada igasuguse kompetentsi tõstmist läbi korraldavate koolituste.  
 </t>
  </si>
  <si>
    <t>Koolitusvajaduste läbimõtestamine ning 2024. aasta koolitusplaani väljatöötamine.</t>
  </si>
  <si>
    <t>&lt;p&gt;Sai lisatud: &lt;a href="https://smjira.sm.ee/browse/HP-461" class="external-link" rel="nofollow"&gt;https://smjira.sm.ee/browse/HP-461&lt;/a&gt;&lt;/p&gt;
&lt;p&gt; &lt;/p&gt;</t>
  </si>
  <si>
    <t>PROJ-3668</t>
  </si>
  <si>
    <t>Seoses webMethods pakettide DRITDocumentRepositoryXML.zip ja VRITActReferenceRepository.zip üleviimisega uuele platvormile kolitakse uuele platvormile (PostgreSQL andmebaas ja S3 objektihoidla) ka seni TISi kogunenud dokumendid. 
Admekoonduri puhul on vaja arvestada, et andmekoondur hakkab saama dokumente kätte uuelt platvormilt. Lisaks on vaja andmekoonduri puhul arvestada, et juhul kui hakkab laekuma FHIR standardil baseeruvaid andmeid, siis andmekoondur peab suutma ka nendega arvestada.</t>
  </si>
  <si>
    <t>Tegeletakse tööks vajalike eeldustegevustega: ettevalmistused dokumendiregistri ja viidaregistri andmestiku migreerimiseks uuele platvormile.</t>
  </si>
  <si>
    <t>HP-452</t>
  </si>
  <si>
    <t>PROJ-3667</t>
  </si>
  <si>
    <t>Tervisetõendite funktsionaalsuse üleviimine uuele platvormile (lõpetamine)</t>
  </si>
  <si>
    <t>Tervisetõendite funktsionaalsuse üleviimine webMethods platvormilt upTIS mikroteenuste platvormile. 2023a alustatud töö (PROJ-2923) lõpetamine. </t>
  </si>
  <si>
    <t>Arendustöödega lõpetamine. Turvatestide parandused, koormustestimine, vastuvõtu testimine, teenuse tootestamine.</t>
  </si>
  <si>
    <t>Vajadusel hooldus- ja jätkuarendustööde teostamine.</t>
  </si>
  <si>
    <t>Industry62</t>
  </si>
  <si>
    <t>PROJ-3631</t>
  </si>
  <si>
    <t>Haiglaravimite digitaliseerimine (2024)</t>
  </si>
  <si>
    <t>Kaido Vaade</t>
  </si>
  <si>
    <t>{*}{*}Luua uus "medflow" mikroteenus haiglaravimite määramise/manustamise info liigutamiseks (haiglatest TIS-i), mis põhineb rahvusvahelistel loenditel/klassifikaatoritel ning kus andmevahetus toimub sündmuspõhiselt (FHIR standardil).</t>
  </si>
  <si>
    <t>Töödega alustatakse II trimestris.</t>
  </si>
  <si>
    <t>Alustatakse haiglaravimite analüüsiga.</t>
  </si>
  <si>
    <t>Jätkatakse haiglaravimite analüüsiga ja alustatakse arendustöödega.</t>
  </si>
  <si>
    <t>PROJ-3622</t>
  </si>
  <si>
    <t>Ravimiskeemi mikroteenus tervisejuhtimise töölaual (2024)</t>
  </si>
  <si>
    <t>Patrick Pihelgas</t>
  </si>
  <si>
    <t>2024. aastaks esitatud ideetaotlus. 
Töö eesmärk: 
* Lahendus kuvab vaid need ravimid, mida patsient käesolevalt tarvitama peaks, nõuab enne uue ravimi määramist ravimiskeemi üle vaatamist ning võimaldab täiendatavatel spetsialistidel (apteekrid, tugispetsialistid, sotsiaaltöötajad) jätta kommentaare, kui on ravimiskeemi või õige tarvitamise osas küsimusi. 
Jätkuvad 2023 aastal alanud tööd.</t>
  </si>
  <si>
    <t>Ravimiskeemi mikroteenuse ja FHIRi analüüsi ja arendustööd jätkuvad. Alustatakse ravimiskeemi ajaloo disaini täpsustamisega ja analüüsiga.</t>
  </si>
  <si>
    <t>Ravimiskeemi ajaloo analüüs ja arendus jätkuvad. Ravimiskeemi II-etapi funktsionaalsused võetakse LIVEs kasutusele. Alustatakse haiglaravimite analüüsiga.</t>
  </si>
  <si>
    <t>Jätkatakse haiglaravimite analüüsiga ning alustatakse arendusega</t>
  </si>
  <si>
    <t>HP-315, PROJ-3184</t>
  </si>
  <si>
    <t>PROJ-3620</t>
  </si>
  <si>
    <t>Andmevaaturi ületoomine TJT-sse (2024)</t>
  </si>
  <si>
    <t>Andmevaaturi funktsionaalsuse üle kolimine Tervisejuhtimise töölauale</t>
  </si>
  <si>
    <t>Analüüsi-, disaini- ja arendustööde läbiviimine andmevaaturi vaadete üleviimiseks tervisejuhtimise töölauale. 
Tööde skoopi kuuluvad järgmised funktsionaalsused/vaated: 
Diagnoosid 
Analüüsitulemused 
Uuringud 
Päiserea funktsioonid 
Immuniseerimised 
Operatsioonid 
Lisaks realiseeritakse töövõimetuslehtede sisestamise funktsionaalsus.</t>
  </si>
  <si>
    <t>Jätkuvad analüüsi- ja arendustööd. Kogu andmevaaturi funktsionaalsus saab tervisejuhtimise töölauale üle viidud. 
Tööde skoopi kuuluvad järgmised funktsionaalsused/vaated: 
Antropomeetrilised näitajad 
Ravimite kõrvaltoimed ja allergiad 
Elustiili andmed 
Vertikaalne ja horisontaalne ajatelg 
Seotud isikud 
Perearsti info 
Tahteavaldused 
PerMed</t>
  </si>
  <si>
    <t>Jätkutööd ning trimestri lõpus andmevaaturi kasutuselt maha võtmine (va kiirabi).</t>
  </si>
  <si>
    <t>PROJ-3619</t>
  </si>
  <si>
    <t>Valmisoleku loomine struktureeritud vähiandmete kogumiseks tervise infosüsteemi</t>
  </si>
  <si>
    <t>Monika Mariell Reinart</t>
  </si>
  <si>
    <t>Projekti eesmärgiks on arendada ja katsetada vähiteekonna struktureeritud põhiandmete töölauda, mis on haigusjuhtude ülene ja patsiendipõhine ning laiendatav üle Eesti nii vähivaldkonnas kui teistele raviteekondadele. Ühtlasi on võimalus edaspidi laieneda vähivaldkonnas paikmepõhiste andmeteni. Struktureeritud vähiandmete andmekoosseis koosneb umbkaudu 40-st rahvusvaheliselt kokkulepitud andmeväljast.</t>
  </si>
  <si>
    <t>Projektile on leitud äriomanik ning projekt on arendusportfellis positiivse hinnangu saanud. TEHIK-poolne ärianalüüs on läbiviidud, projekti aja- ja tegevuskava ning rollide jaotus on paigas. Tehnilise lahenduse arutelud toimuvad regulaarselt.</t>
  </si>
  <si>
    <t>Alustatakse infomudelite loomisega.</t>
  </si>
  <si>
    <t>Alustatakse arendustega.</t>
  </si>
  <si>
    <t>PROJ-3618</t>
  </si>
  <si>
    <t>Strateegia väljatöötamine registrite TIS andmekasutuse-põhiseks viimiseks</t>
  </si>
  <si>
    <t>Tegevusplaani visioneerimine.</t>
  </si>
  <si>
    <t>Esmane strateegia mustand on tehtud. Kokku on kutsutud TEHIK-sisene (ja -väline?) töörühm, kelle abil detailne strateegia kokku kirjutatakse.</t>
  </si>
  <si>
    <t>Kaasatud on välised huvitatud osapooled, kelle abil strateegiat täiendatakse.</t>
  </si>
  <si>
    <t>Strateegia on valmis ning seda on tutvustatud huvitatud osapooltele.</t>
  </si>
  <si>
    <t>PROJ-3616</t>
  </si>
  <si>
    <t>TIS WM platvormilt uue eKiirabi lahenduse jaoks vajalike WM pakettide üle viimine mikroteenuste platvormile</t>
  </si>
  <si>
    <t>Töö eesmärk on TIS WM platvormilt uue eKiirabi lahenduse jaoks vajalike WM pakettide üle viimine mikroteenuste platvormile.  
Tegemist on tööga, mille vajadus selgub jooksuvalt 2024. a jooksul. </t>
  </si>
  <si>
    <t>Eelanalüüsi käigus selguse loomine, milliste WM pakettide üleviimine mikroteenuste platvormile on vajalik uue eKiirabi lahenduse jaoks. Kui selgus on olemas, siis vastavate WM pakettide raames mikroteenuste platvormile üle viimiseks vajalike arendustööde analüüs ja ettevalmistused. Arendustöödega alustamine.</t>
  </si>
  <si>
    <t>eKiirabi uue lahenduse mikroteenuste platvormile ümber kirjutamisega seotud arendustööde teostamine.</t>
  </si>
  <si>
    <t>Arendustööd on lõpetatud. Teostatud on turvatestid, koormustestid ja vastuvõtu testid. Vajadusel teostatud hooldus- ja jätkuarendustööd.</t>
  </si>
  <si>
    <t>HP-451</t>
  </si>
  <si>
    <t>PROJ-3615</t>
  </si>
  <si>
    <t>TIS WM platvormilt SKA TSK teenuse üleviimine mikroteenuste platvormile</t>
  </si>
  <si>
    <t>Töö eesmärk on viia TIS WM platvormilt SKA TSK teenus üle upTIS mikroteenuste platvomile. Tööga hõlmatud WM paketid: SKAINTskInteractions, SKAINSkaspecialistInteractions,  SKAINDiagnosisInteractions. 
Antud töö on üks eeltingimus Patient Summary teenuse üleviimiseks mikroteenuste platvormile.</t>
  </si>
  <si>
    <t>SKAga kohtumine TSK teenuse kasutamise teemal ja tulevikuperspektiivide läbirääkimine. Saab selgeks, kas teenus vajab olemasoleval kujul üle viimist, kas teenus on võimalik asendada SKA jaoks andmevaaturi atomaarsete päringutega või tekib selleks mingi muu lahendus. Eelanalüüsi läbiviimine ja kui selgub, et teenus on vaja üle viia, siis arendustöödega alustamine.</t>
  </si>
  <si>
    <t>SKA TSK teenuse mikroteenuste platvormile seotud arendustööd teostamine.</t>
  </si>
  <si>
    <t>Teostatud on arendusega seoses turvatestid, koormustestid ja vastuvõtu testid. Vajadusel hooldus- ja jätkuarendustööd.</t>
  </si>
  <si>
    <t>HP-450</t>
  </si>
  <si>
    <t>PROJ-3614</t>
  </si>
  <si>
    <t>TIS WM platvormilt tervisekontrolli teenuste üleviimine mikroteenuste platvormile</t>
  </si>
  <si>
    <t>Töö eesmärk on viia TIS WM platvormilt tervisekontrolli teenuste üleviimine upTIS mikroteenuste platvormile. Tööga hõlmatud WM paketid: TKRINHealthcardInteractions, TKRITHealthcardRepository. 
Antud töö on üks eeltingimus SKA TSK teenuse mikroteenuste platvormile üle viimiseks.</t>
  </si>
  <si>
    <t>Tervisekontrolli teenuste mikroteenuse platvormile üle viimiseks vajalike arendustööde ettevalmistused ja analüüs.</t>
  </si>
  <si>
    <t>Tervisekontrolli teenuste mikroteenuste platvormile ümber kirjutamisega seotud arendustööde teostamine.</t>
  </si>
  <si>
    <t>HP-449</t>
  </si>
  <si>
    <t>PROJ-3613</t>
  </si>
  <si>
    <t>TIS WM platvormilt hambaravi teenuste üleviimine mikroteenuste platvormile</t>
  </si>
  <si>
    <t>Töö eesmärk on viia TIS WM platvormilt hambaravi teenused upTIS mikroteenuste platvormile. Tööga hõlmatud WM paketid: GEITRepository, GEINGeneralcardInteractions, DENTINTeethCardInteractions. 
Antud töö on üks eeltingimus Patient Summary teenuse üleviimiseks mikroteenuste platvormile.</t>
  </si>
  <si>
    <t>Hamba staatuse kaardi päringuga teenuste mikroteenuste platvormile üle viimisega seonduvate arendustöödega alustamine.</t>
  </si>
  <si>
    <t>Arendustööd on lõpetatud. Teostatud on turvatestid, koormustestid ja vastuvõtu testid.</t>
  </si>
  <si>
    <t>Vajadusel teostatud hooldus- ja jätkuarendustööd.</t>
  </si>
  <si>
    <t>PROJ-3612</t>
  </si>
  <si>
    <t>TIS WM platvormilt terminoloogia teenuste üleviimine mikroteenuste platvormile</t>
  </si>
  <si>
    <t>Töö eesmärk on analüüsida EhrPubClassificators WM paketi (mida kasutavad erinevad TIS teenused, sh DeathInteractions, PatientSummary jne) kasutust teiste tervise infosüsteemi teenuste poolt ning vajadusel teha vajalikud arendustööd paketist tulenevate vajaduste realiseerimiseks mikroteenuste platvormil. 
Antud töö on üks eeltingimus Patient Summary teenuse üleviimiseks mikroteenuste platvormile.</t>
  </si>
  <si>
    <t>Terminoloogia EhrPubClassificators paketiga seotud funktsionaalsuse ja ravimiregistri koopiaga seotud funktsionaalsuste mikroteenuste platvormile loomise lahenduste analüüs ja arendustööde ettevalmistus. 
Arendustöödega alustamine.</t>
  </si>
  <si>
    <t>PROJ-3611</t>
  </si>
  <si>
    <t>TIS WM platvormilt retseptikeskuse integratsiooni üleviimine mikroteenuste platvormile</t>
  </si>
  <si>
    <t>Töö eesmärk on tervise infosüsteemi retseptikeskuse integratsiooni üleviimine mikroteenuste platvormile, sh liigse andmekasutusega retseptikeskuse päringute välja vahetamine optimaalsemate päringute vastu. 
Antud töö on üks eeltingimus Patient Summary teenuse üleviimiseks mikroteenuste platvormile.</t>
  </si>
  <si>
    <t>Töö eeldus on, et Tervisekassa saaks valmis uue X-tee teenuse (andmegruppide pärimist toetav retseptideVaatamise teenus), millega alustati Tervisekassa poolelt töid 2023. aastal. Kui teenus saab valmis, siis sellele järgnevad retseptikeskuse integratsiooni teenuste mikroteenuste platvormile üle viimisega seonduvate arendustööde ettevalmistused ja arendustöödega alustamine</t>
  </si>
  <si>
    <t>Retseptikeskuse integratsiooni teenused on ümber kirjutatud mikroteenuste platvormile. Läbitud turvatestimine, koormustestimine, vastuvõtu testid.</t>
  </si>
  <si>
    <t>Hooldus- ja jätkuarendustööde teostamine.</t>
  </si>
  <si>
    <t>PROJ-3610</t>
  </si>
  <si>
    <t>Andmekaitsealase mõjuhinnangu koostamine TIS pre-live keskkonnas testide läbiviimiseks</t>
  </si>
  <si>
    <t>Töö sisuks on andmekaitsealase mõjuhinnangu koostamine tervise infosüsteemi toodangukeskkonna andmete koopiat pre-live keskkonnas kasutades tervise infosüsteemidega seotud lahenduste (sh upTIS teenused, TJT, terviseportaal jm) testimise võimaldamiseks. 
Mõjuhinnangu koostamine tellitakse läbi hanke väliselt partnerilt.</t>
  </si>
  <si>
    <t>Hankematerjalide koostamine ja hanke läbiviimine tööde teostaja leidmiseks. Töödega alustamine.</t>
  </si>
  <si>
    <t>Tööde lõpetamine. Andmekaitsealane mõjuhinnang on koostatud.</t>
  </si>
  <si>
    <t>upTIS, upTIS_teenused</t>
  </si>
  <si>
    <t>PROJ-3609</t>
  </si>
  <si>
    <t>FHIR kasutuselevõtmiseks vajalike tehniliste eelduste täitmine</t>
  </si>
  <si>
    <t>Greete Mõttus</t>
  </si>
  <si>
    <t>Töö eesmärk on viia lõpuni erinevad tehnilised eeldustegevused FHIR kasutusele võtmiseks, sh FHIR serveriga seotud toimingud, tervikluse tagamine, andmete kvaliteet jm. Oluline on ka tagada MFN nõuete täitmine.</t>
  </si>
  <si>
    <t>Eesmärk on jätkata ja lõpetada eelmise aasta lõpus alustatud tervikluse tagamise töödega. Jätkame ka andmekvaliteedikontrolli töödega, viime läbi täiendava POC'i, mis keskendub tehnilistele andmekvaliteedikontrollidele. FHIR serveri edasisteks arendusteks koostöömudeli kokkuleppimine. FHIR'iga seotud POC'i tulemite rakendamiseks seotud tegevuste täitmine.</t>
  </si>
  <si>
    <t>FHIR POC'i tulemite rakendamine toodangu keskkonnas ravimiskeemi tarbeks. Sealhulgas muude üles kerkivate vajaduste täitmine.</t>
  </si>
  <si>
    <t>Jooksvalt üles kerkivate vajaduste lahendamine.</t>
  </si>
  <si>
    <t>PROJ-3608</t>
  </si>
  <si>
    <t>Juurdepääsuõiguste moodularendused</t>
  </si>
  <si>
    <t>Töö eesmärk on viia läbi analüüs ja teostada vajalikud arendused juurdepääsuõiguste moodularenduste rakendamiseks. Loodavad lahendused peavad arvestama praeguse olukorraga, varasemate asjakohaste analüüside ja strateegiliste suundadega ning tänaste ja tulevaste andmekasutajate vajadustega.</t>
  </si>
  <si>
    <t>Juurdepääsuõiguste mooduli edasiarendamine TJT I-etapi ja TP (patsiendi) vajadusi arvestades. 
Analüüsi läbiviimine, kuidas arvestada juurdepääsuõiguste rakendumisel "uue ja vana maailma" õigustega.</t>
  </si>
  <si>
    <t>Juurdepääsuõiguste mooduli jooksvad edasiarendustööd vastavalt uute teenuste vajadustele. 
Juurdepääsuõiguste mooduli kasutuselevõtmine upTIS mikroteenuste platvormi autoriseerimismoodulis. 
Dokumenteerimisloogika analüüsist saadava sisendi põhjal juurdepääsuõiguste mooduli täiendamine.</t>
  </si>
  <si>
    <t>Juurdepääsuõiguste mooduli jooksvad edasiarendustööd vastavalt uute teenuste vajadustele. 
Dokumenteerimisloogika analüüsist saadava sisendi põhjal juurdepääsuõiguste mooduli täiendamine.</t>
  </si>
  <si>
    <t>&lt;p&gt;Hei &lt;a href="https://smjira.sm.ee/secure/ViewProfile.jspa?name=merily.rool" class="user-hover" rel="merily.rool"&gt;Merily Rool&lt;/a&gt;! Muutsin ära &lt;img class="emoticon" src="https://smjira.sm.ee/images/icons/emoticons/smile.png" height="16" width="16" align="absmiddle" alt="" border="0"/&gt; Ei ole ikka hanget vaja.&lt;/p&gt;</t>
  </si>
  <si>
    <t>PROJ-3594</t>
  </si>
  <si>
    <t>Analüüsi- ja arendustööd upTIS raames andmete integratsioonimudeli toimima panemiseks</t>
  </si>
  <si>
    <t>Antud task tegeleb vajalike analüüsi- ja arendustööde (sh katsetustega), kuidas luua integratsioonimudel, mis võimaldab omavahel mäppida: 
* CDA R2 Eesti v7 mudelil baseeruvad andmed 
* CDA R2 Eesti v8 mudelil baseeruvad andmed 
* FHIR v4 andmed 
* FHIR v5 andmed 
Lahendused (TJT, terviseportaal, analüütika tööriistad jm) peaksid saama teha päringuid vastu integratsioonimudelit erinevate standarditega saadetud andmete kätte saamiseks ja taaskasutamiseks. Siinkohal tuleb arvestada, et tegemist ei pea olema ühe mudeliga, vaid igal domeenil võib olla omaette integratsioonimudel.</t>
  </si>
  <si>
    <t>I trimestri eesmärk on alustada analüüsiga ning viia läbi POC. (näiteks ravimiskeemi teise etappiga seonduvalt)</t>
  </si>
  <si>
    <t>Esimene versioon integratsioonimudelist on toodangus tööle pandud.</t>
  </si>
  <si>
    <t>Integratsioonimudeli täiendamine ja valmidus teiste teenuste toetamiseks.</t>
  </si>
  <si>
    <t>&lt;p&gt;Hei &lt;a href="https://smjira.sm.ee/secure/ViewProfile.jspa?name=merily.rool" class="user-hover" rel="merily.rool"&gt;Merily Rool&lt;/a&gt;! Muutsin ära &lt;img class="emoticon" src="https://smjira.sm.ee/images/icons/emoticons/smile.png" height="16" width="16" align="absmiddle" alt="" border="0"/&gt; Ei ole ikka hanget vaja.&lt;/p&gt;</t>
  </si>
  <si>
    <t>PROJ-3575</t>
  </si>
  <si>
    <t>Koostöö võimestamine 2024</t>
  </si>
  <si>
    <t>Koostöö võimestamise all mõistame 2024. aastal seotud osapooltega (sh arenduspartnerid, haiglate võrgustik, arendusjuhid, eriala esindajad, ülikoolid) tihedamat koostööd, info vahetamist ning uue põlvkonna tervise infosüsteemi (sh teabekeskuse, FHIR tegevuste, kliiniliste infomudelite jm) teadmuse nendeni toomist. Teadmuse levitamiseks plaanime kasutada: infolehtede koostamist, webinaride ja töötubade korraldamist, konverentsi formaadis ürituste korraldamist. Samuti rõhutame vajadust kasutajatelt uute teenuste juurutamisel aktiivselt tagasisidet saada, et saaksime teenuseid jooksvalt parendada. 
 </t>
  </si>
  <si>
    <t>PROJ-2335</t>
  </si>
  <si>
    <t>PROJ-3572</t>
  </si>
  <si>
    <t>Relatsioonilise metaandmestiku ökosüsteemi arendus- ja haldustööd 2024</t>
  </si>
  <si>
    <t>Relatsioonilise metaandmestiku ökosüsteemi all mõistame teenuseid/arendusi, mis on mõeldud SOM haldusala kasutajatele ja veelgi kaugemale.  
2023 aasta sügisel paigaldasime TEHIKu klastrisse toote nimega DataHub, viime läbi PoC, arusaamaks, millist lahendust kasutajad tegelikult vajavad.  
Datahub on samm 1, seejärel on kasutajate vajaduste analüüs ning vastavus MKMi poolt kirjeldatud andmehalduse standardile.  
Selle projekti alla kuulub ka arendustööd andmete teabeväravaga ühildumiseks, ilmselt tuleb rakenduste vahele arendada transformatsiooniks konnektor, et DCAT-AP standardi kohaselt metaandmestikku välja anda. 
*EST2EHDSist küsitud arendustöödeks eelarvet: 100 000 eurot (käibemaksuta)*</t>
  </si>
  <si>
    <t>HP-92, HP-390, HP-391, TP-516, PROJ-2941</t>
  </si>
  <si>
    <t>PROJ-3571</t>
  </si>
  <si>
    <t>Tervise valdkonna metandmestiku ökosüsteemi arendustööd 2024</t>
  </si>
  <si>
    <t>Tervise valdkonna metaandmete kirjeldamise, haldamise ja avaldamise ökosüsteem. Tervise valdkonna teenuste arendamise alustala, kus kirjeldame andmevahetusvormingud, andmekvaliteedi kontrollireeglid, unikaalsed identifikaatorid, loendid ja juurutusjuhendid, haldame nimetatute versioone ning erisusi. Avaldame tervise valdkonna teenuste juurutamiseks vajalikke materjale.  
Peamised keskkonnad:  
# andmekirjelduskeskkond (akk.tehik.eeI 
# terminoloogiaserver (term.tehik.ee - tulekul) 
# avaldamise keskkond (teabekeskus.tehik.ee - tulekul)  
Dokumentatsioon leitav siit: [Teabekeskuse kodu - Teabekeskus - Sotsiaalministeeriumi wiki (sm.ee)|https://wiki.sm.ee/display/TEAB/Teabekeskuse+kodu]  
2024 aastal toimetame arendustöödes peamiselt EST2EHDS projektirahadest, *milleks on 200 000 eurot (käibemaksuta) ning perioodil 2023-2026 on kogu eelarve 700 000 eurot* 
2024 aasta eesmärgiks on:  
* klassifikaatorite ja koodiloendite haldusmooduli lõplik lahendus integreeritud teabekeskuse ökosüsteemi 
* CDA-FHIR vastendustega seotud küsimustele vastuste leidmine ning seonduvad arendustööd 
* TIS andmemudeli koosseisu masinmõistetav ja inimmõistetav kuju 
* kliiniliste infomudelite tehnilise töövahendi lõplik lahendus ning integratsioon teabekeskuse ökosüsteemi</t>
  </si>
  <si>
    <t>Klassifikaatorite ja koodiloendite haldusmooduli jätkuvad analüüsi- ja arendustööd - TO-BE vaated paika ja vastavalt tuleviku vaadetele arendusetsüklid paika. 
Terminoloogiaserveri litsentsi hanke ettevalmistused ning läbiviimine, et terminoloogiaserveri litsentsi järgnevaks 3aastaks soetada.</t>
  </si>
  <si>
    <t>HP-92, HP-390, HP-391, TP-515, TP-518, TP-370, TP-516, TP-607, TP-65, PROJ-2941, PROJ-3873</t>
  </si>
  <si>
    <t>PROJ-3468</t>
  </si>
  <si>
    <t>Teavitused ja meeldetuletused terviseportaalis 2024</t>
  </si>
  <si>
    <t>Terviseportaal teavituste arendused. 
Projektiplaan on loodud siia: [https://wiki.sm.ee/display/UPP/Teavituste+projektiplaan] 
Projektiplaan on kinnitamata, peale muudatusi tuleb siia kirjeldus lisada.</t>
  </si>
  <si>
    <t>Koostöös Tervisekassaga defineerida teavituste ärilised eesmärgid ning alustada arendustööde planeerimisega.</t>
  </si>
  <si>
    <t>UPP-1752, PROJ-3187, PROJ-3464, HP-291</t>
  </si>
  <si>
    <t>PROJ-3467</t>
  </si>
  <si>
    <t>Ambulatoorsete analüüside tellimuste suunamised TIS-i 2024</t>
  </si>
  <si>
    <t>2024. aasta alguseks koostatakse uus projektiplaan (toimunud on skoobi muudatus), Tervisekassa on vastu võtnud otsuse, et liigutakse lahenduse kaudu, et suunata kõik teenusepakkujad oma ambulatoorsete vastuvõttude analüüside tellimusi edastama Tervise infosüsteemi (analüüside tellimuse saatekiri).  Millised ambulatoorsed vastuvõtud ning millises ajaraamis, on täpsustamisel.  
Seotud eelmise kodulähedaste analüüside projektiga, mida on laiendatud ning nimi või millise projekti alt seda tehakse, selgub hiljem: 
,,Kodulähedaste analüüside“ projekti fookuses on luua võimalus inimesel anda kodule lähedal analüüside tarbeks proovimaterjali, olenemata analüüsid tellinud raviasutuse asukohast. 
Projekti eesmärk on võimaldada inimesele analüüside andmine temale sobivaimas vajalikku võimekust omavas proovivõtupunktis ja seeläbi vähendada inimese või tema lähedase omaosalust (transpordile kuluv aeg ja raha) ja suurendada ravi järjepidevust. Projekti eesmärk panustab suurematesse strateegilistesse eesmärkidesse - tervishoiuteenuste kättesaadavuse paranemine ja raviteekonna inimkesksuse tõstmine. Lisaks võimaldab laborimeditsiini kvaliteedisüsteemi loomine ühtlustada süsteemi laboriteenusekvaliteeti ja vähendada analüüside dubleerimist. 
Kodulähedaste analüüside projekti realiseerumise järel, on igal inimesel võimalik valida, millise teenusepakkuja juurde ta suundub proovimaterjali andmiseks, sõltumata teenusepakkuja piiridest (sellest, millise teenusepakkuja juures patsient on ravil ja konkreetse teenusepakkuja võrgustikust). 
Projekti tulemusena luuakse üleriiklik võimalus tellida inimesele lähimasse proovivõtupunkti analüüside ’’saatekiri’’. Arstil on võimalik tellida inimesele laborianalüüsid võimaldades proovimaterjali andmine inimese elukohale lähimas proovivõtupunktis. Projekti tulemusena ühtlustatakse proovivõtupunktidele kehtivad kvaliteedinõuded ja tellimuse edastamiseks kehtivad standardid.</t>
  </si>
  <si>
    <t>1. Infomudelite (esialgu mustandmudelid) jaoks eeltöö tegemine ning mudelite koostamine. 
2. Andmevahetuses osalevate andmekomplektide mäppimise/analüüsi alustamine FHIR-ga. 
Kaardistatud on info, mis peab analüüsi tellimuse sisestamiseks, edastamiseks ja täitmiseks liikuma (sisend saatekirja andmekomplektist, teostatavusanalüüsist) (sh kaardistatud, kust puuduolev info saada ja milline info või andmeväljad on vaja lisada) 
TIS põhimääruse lisas andmete nimekirja täiendamine/muutmine. 
TIS laboriandmete juhtrühmas kooskõlastamine ja ELMÜ-ga samuti. 
3. Samal ajal ärianalüüs Tervisekassa poolt teostamisel. 
Kogu eelmise protsessi tulem: valminud on ärianalüüs ja samal ajal infomudelid ning FHIR profileerimisega on alustatud.</t>
  </si>
  <si>
    <t xml:space="preserve">
</t>
  </si>
  <si>
    <t>PROJ-3188, TP-222, TP-473, TP-59, HP-465</t>
  </si>
  <si>
    <t>&lt;p&gt;Lisatud HP rida, kuid kuna suunamiste teema all Tervisekassa poolt on veel tulemas täpsustusi, siis ei saa hetkel täpsemaks teha. Summa on hinnanguline arvestades eLHRi. Kui lisanduvad TIS arendused, tuleb summa või uus rida. Ka seda praegu ei näe täpselt ette.&lt;/p&gt;</t>
  </si>
  <si>
    <t>PROJ-3463</t>
  </si>
  <si>
    <t>ÜDR back-end arendustööd 2024</t>
  </si>
  <si>
    <t>Olga Muhhina</t>
  </si>
  <si>
    <t>ÜDR funktsionaalsuse viimine Terviseportaali (TP)/TJTsse. TPsse läheb broneerimine (saatekirja kaudu ja ilma), broneeringu muutmine/tühistamine, ajaleidja funktsionaalsus. 
TJTsse kolib PAIS liides.   
Uue funktsionaalsuse arendamine vastavalt Tervisekassa otsustele.  
Mikroteenuste arendamine vastavalt TP/TJT vajadustele. </t>
  </si>
  <si>
    <t>PROJ-3032, PROJ-3825</t>
  </si>
  <si>
    <t>BitWeb, Kodality</t>
  </si>
  <si>
    <t>PROJ-3459</t>
  </si>
  <si>
    <t>upTIS platvormitööde ja sündmuspõhise andmevahetuse eeldustööde turvatestimine</t>
  </si>
  <si>
    <t>Bret Rand</t>
  </si>
  <si>
    <t>2024. aastal viiakse läbi mitmeid upTIS platvormi arendustöid. Enne arendustööde tootestamist tuleb viia läbi turvatestid veendumaks loodud lahenduste turvalisuses. Turvatestid võivad hõlmata ka varasemalt tehtud platvormitöid, mis on seni olnud tootestamise ootel. 
Sündmuspõhise andmevahetusega seotud lahenduste (FHIR server, juurdepääsuõiguste moodul jm) turvatestimine. 
 </t>
  </si>
  <si>
    <t>Turvatestide läbiviimine vastavalt töödest tulenevatele vajadustele.</t>
  </si>
  <si>
    <t>PROJ-3457</t>
  </si>
  <si>
    <t>Tervise infosüsteemi nõusolekuteenuse jätkuarendustööd 2024</t>
  </si>
  <si>
    <t>Peale õigusruumis vajalike muudatuste teostamist tekib õigus tervise infosüsteemist terviseandmeid kodaniku nõusoleku alusel pärida. Uute andekomplektide väljastamise vajaduse korral tuleb nende väljastamiseks vajalikud teenused arendada. Antud tööplaani pileti eesmärk on tagada võimekus ja eelarve taoliste andmeväljastussoovidega tegelemiseks.</t>
  </si>
  <si>
    <t>Oodatavasti täpsema ajakava selgumine, millal on võimalik nõusolekuteenuse tootestamisega edasi liikuda.</t>
  </si>
  <si>
    <t>&lt;p&gt;Mõtlesin uuesti läbi ja korrigeerisin, see pigem ei vaja hanget. Saame olemasoleva raamlepingu ja tunnipõhiste lepingute alt siinkohal hakkama.&lt;/p&gt;</t>
  </si>
  <si>
    <t>PROJ-3455</t>
  </si>
  <si>
    <t>Uue põlvkonna tervise infosüsteemi hooldus- ja väikearendustööd 2024</t>
  </si>
  <si>
    <t>Uue põlvkonna tervise infosüsteemi jooksvate hooldus- ja väikearendustööde teostamine.</t>
  </si>
  <si>
    <t>Jooksvalt üleskerkivate upTIS hooldus- ja väikearendustööde teostamine.</t>
  </si>
  <si>
    <t>Üle Valitsuse oleme otsustanud liikuda projektipõhiselt planeerimiselt teenusepõhisele tegevusele. Seetõttu on uue lähenemise eelarvestamisel eesmärk pöörata tähelepanu teenuste ja nende arendatavate tiimide rahastamisele, mitte pelgalt üksikprojektidele.
I poolaastasse planeerime vaid need tegevused, milles oleme kindlad, et tööd algavad ning väärtus jõuab kasutajateni sel aastal. Nimekirja töödest ja vajaminevatest ressurssidest fikseerime, ning kvartaalsed aruanded kasutatakse prognoosi korrigeerimiseks. 
II poolaastasse jäävad tegevused, mille analüüs alles käib või tuleb algatada ning LIVE on planeeritud mitte varem kui 2025. Nimekiri täpsustatakse ja fikseeritakse taas juunis. Kvartaalsed ettemaksuarved tehakse vastavalt allolevale jaotusele. Täpsemad projektide ja investeeringute kirjeldused leiate vahelehel "Investeeringute kirjeldus".</t>
  </si>
  <si>
    <t>KOKKU (2024 Aasta)</t>
  </si>
  <si>
    <t>KOKKU (kvartali kaupa)</t>
  </si>
  <si>
    <t>Gerda Joa</t>
  </si>
  <si>
    <t>Kadri Haller-Kikkatalo</t>
  </si>
  <si>
    <t>Taavi Annus</t>
  </si>
  <si>
    <t>Juulika Leppik</t>
  </si>
  <si>
    <t>Liisa Lvova</t>
  </si>
  <si>
    <t>Helena Palu</t>
  </si>
  <si>
    <t>PROJ</t>
  </si>
  <si>
    <t>check</t>
  </si>
  <si>
    <t>Q1 pivot</t>
  </si>
  <si>
    <t>Q1 plan</t>
  </si>
  <si>
    <t>full Year Pivot</t>
  </si>
  <si>
    <t>Full Year Plan</t>
  </si>
  <si>
    <t>Q2 pivot</t>
  </si>
  <si>
    <t>Q2 plan</t>
  </si>
  <si>
    <t>CHECK CALC -&gt;</t>
  </si>
  <si>
    <t>Sum of Arvut.kulu (KM-ga)</t>
  </si>
  <si>
    <t>Kokku</t>
  </si>
  <si>
    <t>FTE  Q1</t>
  </si>
  <si>
    <t>FTE  Q2</t>
  </si>
  <si>
    <t>FTE  Q3</t>
  </si>
  <si>
    <t>FTE  Q4</t>
  </si>
  <si>
    <t>Kvartal 1 (täitmine, €)</t>
  </si>
  <si>
    <t>Kvartal 1 (täitmine %)</t>
  </si>
  <si>
    <t>Kvartal 1 (planeeritud, €)</t>
  </si>
  <si>
    <t>Kvartal 2 (planeeritud, €)</t>
  </si>
  <si>
    <t>Kvartal 3
(planeeritud, €)</t>
  </si>
  <si>
    <t>Kvartal 4
(planeeritud, €)</t>
  </si>
  <si>
    <t>FC</t>
  </si>
  <si>
    <t>ACT</t>
  </si>
  <si>
    <t>Koostööleping nr 1.3-2.1/39 ,  Tervise ja Heaolu Infosüsteemide Keskus (TEHIK) ja Tervisekassa vahel</t>
  </si>
  <si>
    <t>8. TEHIK esitab tegevusaruande (sh toote toimivusraport) kvartaalselt järgmise kuu 15ndaks kuupäevaks. Tegevusaruanne sisaldab minimaalselt möödunud kvartali:
8.1. Toote toimivusraportit, mille sisu lepitakse kokku Lisa 1s
8.2. Tootehaldusega seotud kulude nimetus ja suurus (sh projektitööd);
8.3. Projektiplaani täitmisega seotud kulude nimetus, lühikirjeldus ja suurus;
9. Tervisekassa kiidab tegevusaruande (sh toimivusraporti) heaks 7 päeva jooksul alates nende nõuetekohasest esitamisest TEHIKu poolt või esitab sama aja jooksul vastuväited.</t>
  </si>
  <si>
    <t>Punkt 8.1 laiendatud Digiregistratuuri näitel (vt täpsemad detaile SLA lepingus)</t>
  </si>
  <si>
    <t>Tootehaldur koostab tootejuhile toote Confluencei kord kvartalis tegevusaruande ehk ülevaate toote toimivusest ja projektitöödest, kus märgitakse vähemalt:
  • Intsidendihalduse täitmine, seal hulgas käideldavusmõõdikute täitmine (ka eelnevad perioodid võrdlusena toodud):
        1. Toote tegelik käideldavuse tase
        2. Lahendamata ja lahendatud pöördumiste hulk
        3. Üle tähtaja läinud pöördumiste hulk koos sisukirjeldusega
        4. Planeeritud katkestuste arv ja kestus
        5. Planeerimata katkestuste arv ja kestus
  • Planeerimata katkestused, intsidendiraportid, parendusettepanekud ning nende realiseerimise tähtajad:
        1. intsidendi järgselt esitab Teenusepakkuja kuni 7 tööpäeva jooksul juhtumi analüüsi raporti, mis kirjeldab põhjust ja lahendust ning tegevusi, mida tuleks ette võtta intsidendi kordumise vältimiseks;
        2. Muud toote pakkumist oluliselt mõjutanud asjaolud (toote toimimiseks vajalike kolmandate süsteemide info (näiteks rikked, olulised muudatused), tarkvaraversiooni tagasipööramise juhtum vms).
  • Parendusettepanekute täitmine, seal hulgas ülevaade (ka eelnevad perioodid võrdlusena toodud):
        1. uurimisel olevatest parendusettepanekud;
        2. ajutise lahenduse leidnud probleemidest:
        3. parendusettepanekute lahendustähtajas püsimisest ja keskmine lahendusajast kuude lõikes;
  • Veateated
        1. päringutest tulenevad veateated; kogu päringute arv versus ebaõnnestunud päringud, top10 veateated ning analüüs, kas antud probleem on lahendatav TEHIKu või tervishoiuteenuse osutaja poolt;
        2. muud kokkulepitud kriteeriumid.
  • Muudatuste haldamise täitmine, seal hulgas ülevaade (ka eelnevad perioodid võrdlusena toodud):
        1. planeerimisel olevatest muudatustest;
        2. teostatud muudatustest;
        3. muud kokkulepitud kriteeriumid.
  • Projektitööde aruandlus projektiplaani täitmise näol:
        1. projektitööde tulemuslikkus (vastavus kokkulepitud ajagraafikule ja sisule);
        2. viide kirjeldatud tööle, tegevustele kulunud aeg ja muu vajalik (see on aluseks projektitööde eest arve esitamisele);
        3. muud kokkulepitud kriteeriumid.
  • Muud toote pakkumist oluliselt mõjutanud asjaolud (toote toimimiseks vajalike kolmandate süsteemide info (näiteks rikked, olulised muudatused), tarkvaraversiooni tagasipööramise juhtum vms)
  • Muud kokkulepitud kriteeriumid:
        1. Kliendi rahulolu mõõtmine ja parendusettepanekud
        2. Turvatestide ja teiste auditide/testide aruandlus
        3. Kord aastas taastetestide aruandlus</t>
  </si>
  <si>
    <t>Lisa 1.1 Digisaatekiri</t>
  </si>
  <si>
    <t>Lisa 1.2 eKiirabi</t>
  </si>
  <si>
    <t>Lisa 1.3 ÜDR</t>
  </si>
  <si>
    <t>Lisa 1.4 Otsustustugi</t>
  </si>
  <si>
    <t>Lisa 1.5 Apteegi MISP2</t>
  </si>
  <si>
    <t>Lisa 1.6 Terviseportaal</t>
  </si>
  <si>
    <t>Lisa 1.8 TJT</t>
  </si>
  <si>
    <t>Hooldus</t>
  </si>
  <si>
    <t>Teenused</t>
  </si>
  <si>
    <t>Litsentsid</t>
  </si>
  <si>
    <t>Jõudlustestid</t>
  </si>
  <si>
    <t>Perioodilised turvatestid</t>
  </si>
  <si>
    <t>Teenusehalduse personal</t>
  </si>
  <si>
    <t>Arendus</t>
  </si>
  <si>
    <t>Andmelao arendus</t>
  </si>
  <si>
    <t>Majutus
(TEHIK infra)</t>
  </si>
  <si>
    <r>
      <t xml:space="preserve">Tootetiim 
       </t>
    </r>
    <r>
      <rPr>
        <sz val="11"/>
        <color theme="0"/>
        <rFont val="Raleway Regular"/>
      </rPr>
      <t>Investeeringu täpsustus</t>
    </r>
  </si>
  <si>
    <t>2024 investeeringute ja teostatud tööde aruanne</t>
  </si>
  <si>
    <t>Kvartal 2 (täitmine, €)</t>
  </si>
  <si>
    <t>I poolaasta eelarve</t>
  </si>
  <si>
    <t>I poolaasta kokku (täitmine, €)</t>
  </si>
  <si>
    <t>Kvartal 2 (täitmine %)</t>
  </si>
  <si>
    <t>Jääk, €</t>
  </si>
  <si>
    <t>I poolaasta (täitmine %)</t>
  </si>
  <si>
    <t>ACT**</t>
  </si>
  <si>
    <t>I KV Planeeritud  (km-ga)</t>
  </si>
  <si>
    <t>I KV Täitmine (km-ga)</t>
  </si>
  <si>
    <t>I KV Täitmine (%)</t>
  </si>
  <si>
    <t>II KV Planeeritud  (km-ga)</t>
  </si>
  <si>
    <t>II KV Täitmine (km-ga)</t>
  </si>
  <si>
    <t>II KV Täitmine (%)</t>
  </si>
  <si>
    <t>Üldkokkuvõte</t>
  </si>
  <si>
    <t>RFC**</t>
  </si>
  <si>
    <t>II PA Jääk km-ga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</si>
</sst>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quot;€&quot;* #,##0.00_-;\-&quot;€&quot;* #,##0.00_-;_-&quot;€&quot;* &quot;-&quot;??_-;_-@_-"/>
    <numFmt numFmtId="165" formatCode="_-[$€-2]\ * #,##0_-;\-[$€-2]\ * #,##0_-;_-[$€-2]\ * &quot;-&quot;??_-;_-@_-"/>
    <numFmt numFmtId="166" formatCode="_-&quot;€&quot;* #,##0_-;\-&quot;€&quot;* #,##0_-;_-&quot;€&quot;* &quot;-&quot;??_-;_-@_-"/>
    <numFmt numFmtId="167" formatCode="&quot;€&quot;#,##0"/>
    <numFmt numFmtId="168" formatCode="0.0"/>
    <numFmt numFmtId="169" formatCode="_-* #,##0\ &quot;€&quot;_-;\-* #,##0\ &quot;€&quot;_-;_-* &quot;-&quot;??\ &quot;€&quot;_-;_-@_-"/>
    <numFmt numFmtId="170" formatCode="#,##0_ ;[Red]\-#,##0\ "/>
  </numFmts>
  <fonts count="34">
    <font>
      <sz val="12"/>
      <color theme="1"/>
      <name val="Aptos Narrow"/>
      <family val="2"/>
      <scheme val="minor"/>
    </font>
    <font>
      <sz val="12"/>
      <color theme="1"/>
      <name val="Aptos Narrow"/>
      <family val="2"/>
      <scheme val="minor"/>
    </font>
    <font>
      <sz val="8"/>
      <name val="Aptos Narrow"/>
      <family val="2"/>
      <scheme val="minor"/>
    </font>
    <font>
      <b/>
      <sz val="11"/>
      <color theme="1"/>
      <name val="Raleway Regular"/>
    </font>
    <font>
      <sz val="11"/>
      <color theme="1"/>
      <name val="Raleway Regular"/>
    </font>
    <font>
      <b/>
      <sz val="11"/>
      <color theme="0" tint="-0.249977111117893"/>
      <name val="Raleway Regular"/>
    </font>
    <font>
      <sz val="11"/>
      <color theme="0" tint="-0.249977111117893"/>
      <name val="Raleway Regular"/>
    </font>
    <font>
      <b/>
      <sz val="11"/>
      <name val="Raleway Regular"/>
    </font>
    <font>
      <b/>
      <i/>
      <sz val="11"/>
      <name val="Raleway Regular"/>
    </font>
    <font>
      <i/>
      <sz val="11"/>
      <name val="Raleway Regular"/>
    </font>
    <font>
      <u/>
      <sz val="12"/>
      <color theme="10"/>
      <name val="Aptos Narrow"/>
      <family val="2"/>
      <scheme val="minor"/>
    </font>
    <font>
      <sz val="22"/>
      <color theme="8"/>
      <name val="Raleway Regular"/>
    </font>
    <font>
      <sz val="12"/>
      <color rgb="FF000000"/>
      <name val="Raleway Regular"/>
    </font>
    <font>
      <b/>
      <sz val="11"/>
      <color rgb="FF000000"/>
      <name val="Raleway Regular"/>
    </font>
    <font>
      <b/>
      <sz val="11"/>
      <color rgb="FFFF0000"/>
      <name val="Raleway Regular"/>
    </font>
    <font>
      <sz val="11"/>
      <color rgb="FF000000"/>
      <name val="Raleway Regular"/>
    </font>
    <font>
      <u/>
      <sz val="11"/>
      <color theme="10"/>
      <name val="Raleway Regular"/>
    </font>
    <font>
      <b/>
      <sz val="14"/>
      <color rgb="FF000000"/>
      <name val="Raleway Regular"/>
    </font>
    <font>
      <sz val="11"/>
      <name val="Raleway Regular"/>
    </font>
    <font>
      <i/>
      <sz val="11"/>
      <color theme="2" tint="-0.499984740745262"/>
      <name val="Raleway Regular"/>
    </font>
    <font>
      <b/>
      <sz val="12"/>
      <color theme="1"/>
      <name val="Aptos Narrow"/>
      <family val="2"/>
      <scheme val="minor"/>
    </font>
    <font>
      <b/>
      <sz val="11"/>
      <color theme="4"/>
      <name val="Raleway Regular"/>
    </font>
    <font>
      <b/>
      <sz val="11"/>
      <color rgb="FF00B050"/>
      <name val="Raleway Regular"/>
    </font>
    <font>
      <b/>
      <sz val="14"/>
      <color theme="1"/>
      <name val="Aptos Narrow"/>
      <family val="2"/>
      <scheme val="minor"/>
    </font>
    <font>
      <sz val="12"/>
      <color theme="1"/>
      <name val="Aptos Narrow"/>
      <family val="2"/>
      <charset val="186"/>
      <scheme val="minor"/>
    </font>
    <font>
      <sz val="11"/>
      <color theme="0"/>
      <name val="Raleway Regular"/>
    </font>
    <font>
      <b/>
      <sz val="11"/>
      <color theme="0"/>
      <name val="Raleway Regular"/>
    </font>
    <font>
      <b/>
      <sz val="16"/>
      <color theme="3"/>
      <name val="Raleway Regular"/>
    </font>
    <font>
      <sz val="11"/>
      <color theme="1"/>
      <name val="Raleway Regular"/>
      <charset val="186"/>
    </font>
    <font>
      <b/>
      <sz val="11"/>
      <color theme="0"/>
      <name val="Aptos Narrow"/>
      <family val="2"/>
      <charset val="186"/>
      <scheme val="minor"/>
    </font>
    <font>
      <b/>
      <sz val="11"/>
      <color theme="1"/>
      <name val="Aptos Narrow"/>
      <family val="2"/>
      <charset val="186"/>
      <scheme val="minor"/>
    </font>
    <font>
      <b/>
      <sz val="12"/>
      <color theme="4"/>
      <name val="Raleway Regular"/>
    </font>
    <font>
      <b/>
      <sz val="12"/>
      <color rgb="FF00B050"/>
      <name val="Raleway Regular"/>
    </font>
    <font>
      <b/>
      <sz val="14"/>
      <color rgb="FF7030A0"/>
      <name val="Raleway Regular"/>
    </font>
  </fonts>
  <fills count="16">
    <fill>
      <patternFill patternType="none"/>
    </fill>
    <fill>
      <patternFill patternType="gray125"/>
    </fill>
    <fill>
      <patternFill patternType="solid">
        <fgColor theme="9" tint="0.59999389629810485"/>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3" tint="0.749992370372631"/>
        <bgColor indexed="64"/>
      </patternFill>
    </fill>
    <fill>
      <patternFill patternType="solid">
        <fgColor rgb="FF00B0F0"/>
        <bgColor indexed="64"/>
      </patternFill>
    </fill>
    <fill>
      <patternFill patternType="solid">
        <fgColor rgb="FFF9FFA0"/>
        <bgColor indexed="64"/>
      </patternFill>
    </fill>
    <fill>
      <patternFill patternType="solid">
        <fgColor theme="4"/>
        <bgColor indexed="64"/>
      </patternFill>
    </fill>
    <fill>
      <patternFill patternType="solid">
        <fgColor theme="4"/>
        <bgColor theme="4" tint="0.79998168889431442"/>
      </patternFill>
    </fill>
    <fill>
      <patternFill patternType="solid">
        <fgColor theme="4" tint="0.79998168889431442"/>
        <bgColor indexed="64"/>
      </patternFill>
    </fill>
    <fill>
      <patternFill patternType="solid">
        <fgColor rgb="FF156082"/>
        <bgColor theme="4" tint="0.79998168889431442"/>
      </patternFill>
    </fill>
    <fill>
      <patternFill patternType="solid">
        <fgColor rgb="FFCCECFF"/>
        <bgColor indexed="64"/>
      </patternFill>
    </fill>
  </fills>
  <borders count="20">
    <border>
      <left/>
      <right/>
      <top/>
      <bottom/>
      <diagonal/>
    </border>
    <border>
      <left/>
      <right/>
      <top/>
      <bottom style="thin">
        <color theme="4" tint="0.39997558519241921"/>
      </bottom>
      <diagonal/>
    </border>
    <border>
      <left/>
      <right/>
      <top style="thin">
        <color theme="4" tint="0.39997558519241921"/>
      </top>
      <bottom/>
      <diagonal/>
    </border>
    <border>
      <left/>
      <right/>
      <top style="thin">
        <color theme="4" tint="0.39997558519241921"/>
      </top>
      <bottom style="thin">
        <color indexed="64"/>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theme="4" tint="0.39997558519241921"/>
      </bottom>
      <diagonal/>
    </border>
    <border>
      <left/>
      <right style="medium">
        <color indexed="64"/>
      </right>
      <top/>
      <bottom style="thin">
        <color theme="4" tint="0.3999755851924192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theme="4" tint="0.39997558519241921"/>
      </top>
      <bottom style="medium">
        <color indexed="64"/>
      </bottom>
      <diagonal/>
    </border>
    <border>
      <left/>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s>
  <cellStyleXfs count="4">
    <xf numFmtId="0" fontId="0" fillId="0" borderId="0"/>
    <xf numFmtId="9"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cellStyleXfs>
  <cellXfs count="147">
    <xf numFmtId="0" fontId="0" fillId="0" borderId="0" xfId="0"/>
    <xf numFmtId="0" fontId="4" fillId="0" borderId="0" xfId="0" applyFont="1"/>
    <xf numFmtId="0" fontId="3" fillId="0" borderId="1" xfId="0" applyFont="1" applyBorder="1" applyAlignment="1">
      <alignment horizontal="left"/>
    </xf>
    <xf numFmtId="166" fontId="3" fillId="0" borderId="1" xfId="0" applyNumberFormat="1" applyFont="1" applyBorder="1"/>
    <xf numFmtId="0" fontId="4" fillId="0" borderId="0" xfId="0" applyFont="1" applyAlignment="1">
      <alignment horizontal="left" indent="1"/>
    </xf>
    <xf numFmtId="166" fontId="4" fillId="0" borderId="0" xfId="0" applyNumberFormat="1" applyFont="1"/>
    <xf numFmtId="0" fontId="3" fillId="3" borderId="2" xfId="0" applyFont="1" applyFill="1" applyBorder="1" applyAlignment="1">
      <alignment horizontal="left"/>
    </xf>
    <xf numFmtId="166" fontId="3" fillId="3" borderId="2" xfId="0" applyNumberFormat="1" applyFont="1" applyFill="1" applyBorder="1"/>
    <xf numFmtId="166" fontId="5" fillId="0" borderId="1" xfId="0" applyNumberFormat="1" applyFont="1" applyBorder="1"/>
    <xf numFmtId="166" fontId="6" fillId="0" borderId="0" xfId="0" applyNumberFormat="1" applyFont="1"/>
    <xf numFmtId="166" fontId="5" fillId="3" borderId="2" xfId="0" applyNumberFormat="1" applyFont="1" applyFill="1" applyBorder="1"/>
    <xf numFmtId="0" fontId="3" fillId="3" borderId="1" xfId="0" applyFont="1" applyFill="1" applyBorder="1" applyAlignment="1">
      <alignment vertical="center" wrapText="1"/>
    </xf>
    <xf numFmtId="0" fontId="5" fillId="3" borderId="1" xfId="0" applyFont="1" applyFill="1" applyBorder="1" applyAlignment="1">
      <alignment horizontal="center" vertical="center"/>
    </xf>
    <xf numFmtId="0" fontId="3" fillId="3" borderId="1" xfId="0" applyFont="1" applyFill="1" applyBorder="1" applyAlignment="1">
      <alignment horizontal="center" vertical="center"/>
    </xf>
    <xf numFmtId="49" fontId="5" fillId="3" borderId="2" xfId="0" applyNumberFormat="1" applyFont="1" applyFill="1" applyBorder="1"/>
    <xf numFmtId="0" fontId="3" fillId="3" borderId="0" xfId="0" applyFont="1" applyFill="1" applyAlignment="1">
      <alignment horizontal="left"/>
    </xf>
    <xf numFmtId="166" fontId="5" fillId="3" borderId="0" xfId="0" applyNumberFormat="1" applyFont="1" applyFill="1"/>
    <xf numFmtId="166" fontId="3" fillId="3" borderId="0" xfId="0" applyNumberFormat="1" applyFont="1" applyFill="1"/>
    <xf numFmtId="49" fontId="5" fillId="3" borderId="0" xfId="0" applyNumberFormat="1" applyFont="1" applyFill="1"/>
    <xf numFmtId="0" fontId="3" fillId="3" borderId="3" xfId="0" applyFont="1" applyFill="1" applyBorder="1" applyAlignment="1">
      <alignment horizontal="left"/>
    </xf>
    <xf numFmtId="166" fontId="5" fillId="3" borderId="3" xfId="0" applyNumberFormat="1" applyFont="1" applyFill="1" applyBorder="1"/>
    <xf numFmtId="166" fontId="3" fillId="3" borderId="3" xfId="0" applyNumberFormat="1" applyFont="1" applyFill="1" applyBorder="1"/>
    <xf numFmtId="49" fontId="5" fillId="3" borderId="3" xfId="0" applyNumberFormat="1" applyFont="1" applyFill="1" applyBorder="1"/>
    <xf numFmtId="49" fontId="8" fillId="0" borderId="1" xfId="0" applyNumberFormat="1" applyFont="1" applyBorder="1"/>
    <xf numFmtId="49" fontId="9" fillId="0" borderId="0" xfId="0" applyNumberFormat="1" applyFont="1"/>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0" xfId="0" applyFont="1" applyAlignment="1">
      <alignment horizontal="center" vertical="center"/>
    </xf>
    <xf numFmtId="0" fontId="13" fillId="0" borderId="7" xfId="0" applyFont="1" applyBorder="1" applyAlignment="1">
      <alignment horizontal="center" vertical="center" wrapText="1"/>
    </xf>
    <xf numFmtId="0" fontId="13" fillId="4" borderId="7" xfId="0" applyFont="1" applyFill="1" applyBorder="1" applyAlignment="1">
      <alignment horizontal="center" vertical="center" wrapText="1"/>
    </xf>
    <xf numFmtId="0" fontId="13" fillId="5" borderId="7" xfId="0" applyFont="1" applyFill="1" applyBorder="1" applyAlignment="1">
      <alignment horizontal="center" vertical="center" wrapText="1"/>
    </xf>
    <xf numFmtId="9" fontId="14" fillId="0" borderId="7" xfId="0" applyNumberFormat="1" applyFont="1" applyBorder="1" applyAlignment="1">
      <alignment horizontal="center" vertical="center" wrapText="1"/>
    </xf>
    <xf numFmtId="0" fontId="13" fillId="6" borderId="7" xfId="0" applyFont="1" applyFill="1" applyBorder="1" applyAlignment="1">
      <alignment horizontal="center" vertical="center" wrapText="1"/>
    </xf>
    <xf numFmtId="0" fontId="15" fillId="0" borderId="0" xfId="0" applyFont="1" applyAlignment="1">
      <alignment horizontal="center" vertical="center"/>
    </xf>
    <xf numFmtId="49" fontId="16" fillId="2" borderId="7" xfId="2" applyNumberFormat="1" applyFont="1" applyFill="1" applyBorder="1" applyAlignment="1">
      <alignment horizontal="center" vertical="center" wrapText="1"/>
    </xf>
    <xf numFmtId="0" fontId="15" fillId="0" borderId="7" xfId="0" applyFont="1" applyBorder="1" applyAlignment="1">
      <alignment horizontal="center" vertical="center" wrapText="1"/>
    </xf>
    <xf numFmtId="0" fontId="15" fillId="2" borderId="7" xfId="0" applyFont="1" applyFill="1" applyBorder="1" applyAlignment="1">
      <alignment horizontal="center" vertical="center" wrapText="1"/>
    </xf>
    <xf numFmtId="3" fontId="15" fillId="2" borderId="7" xfId="0" applyNumberFormat="1" applyFont="1" applyFill="1" applyBorder="1" applyAlignment="1">
      <alignment horizontal="center" vertical="center" wrapText="1"/>
    </xf>
    <xf numFmtId="3" fontId="15" fillId="0" borderId="7" xfId="0" applyNumberFormat="1" applyFont="1" applyBorder="1" applyAlignment="1">
      <alignment horizontal="center" vertical="center" wrapText="1"/>
    </xf>
    <xf numFmtId="165" fontId="15" fillId="2" borderId="7" xfId="0" applyNumberFormat="1" applyFont="1" applyFill="1" applyBorder="1" applyAlignment="1">
      <alignment horizontal="center" vertical="center" wrapText="1"/>
    </xf>
    <xf numFmtId="165" fontId="15" fillId="0" borderId="7" xfId="0" applyNumberFormat="1" applyFont="1" applyBorder="1" applyAlignment="1">
      <alignment horizontal="center" vertical="center" wrapText="1"/>
    </xf>
    <xf numFmtId="9" fontId="15" fillId="0" borderId="7" xfId="1" applyFont="1" applyBorder="1" applyAlignment="1">
      <alignment horizontal="center" vertical="center" wrapText="1"/>
    </xf>
    <xf numFmtId="14" fontId="15" fillId="0" borderId="7" xfId="0" applyNumberFormat="1" applyFont="1" applyBorder="1" applyAlignment="1">
      <alignment horizontal="center" vertical="center" wrapText="1"/>
    </xf>
    <xf numFmtId="49" fontId="16" fillId="7" borderId="7" xfId="2" applyNumberFormat="1" applyFont="1" applyFill="1" applyBorder="1" applyAlignment="1">
      <alignment horizontal="center" vertical="center" wrapText="1"/>
    </xf>
    <xf numFmtId="0" fontId="15" fillId="7" borderId="7" xfId="0" applyFont="1" applyFill="1" applyBorder="1" applyAlignment="1">
      <alignment horizontal="center" vertical="center" wrapText="1"/>
    </xf>
    <xf numFmtId="165" fontId="15" fillId="7" borderId="7" xfId="0" applyNumberFormat="1" applyFont="1" applyFill="1" applyBorder="1" applyAlignment="1">
      <alignment horizontal="center" vertical="center" wrapText="1"/>
    </xf>
    <xf numFmtId="49" fontId="16" fillId="8" borderId="7" xfId="2" applyNumberFormat="1" applyFont="1" applyFill="1" applyBorder="1" applyAlignment="1">
      <alignment horizontal="center" vertical="center" wrapText="1"/>
    </xf>
    <xf numFmtId="0" fontId="15" fillId="8" borderId="7" xfId="0" applyFont="1" applyFill="1" applyBorder="1" applyAlignment="1">
      <alignment horizontal="center" vertical="center" wrapText="1"/>
    </xf>
    <xf numFmtId="3" fontId="15" fillId="8" borderId="7" xfId="0" applyNumberFormat="1" applyFont="1" applyFill="1" applyBorder="1" applyAlignment="1">
      <alignment horizontal="center" vertical="center" wrapText="1"/>
    </xf>
    <xf numFmtId="165" fontId="15" fillId="8" borderId="7" xfId="0" applyNumberFormat="1" applyFont="1" applyFill="1" applyBorder="1" applyAlignment="1">
      <alignment horizontal="center" vertical="center" wrapText="1"/>
    </xf>
    <xf numFmtId="165" fontId="15" fillId="9" borderId="7" xfId="0" applyNumberFormat="1" applyFont="1" applyFill="1" applyBorder="1" applyAlignment="1">
      <alignment horizontal="center" vertical="center" wrapText="1"/>
    </xf>
    <xf numFmtId="3" fontId="15" fillId="9" borderId="7" xfId="0" applyNumberFormat="1" applyFont="1" applyFill="1" applyBorder="1" applyAlignment="1">
      <alignment horizontal="center" vertical="center" wrapText="1"/>
    </xf>
    <xf numFmtId="165" fontId="17" fillId="0" borderId="0" xfId="0" applyNumberFormat="1" applyFont="1" applyAlignment="1">
      <alignment horizontal="center" vertical="center"/>
    </xf>
    <xf numFmtId="0" fontId="4" fillId="0" borderId="0" xfId="0" applyFont="1" applyAlignment="1">
      <alignment wrapText="1"/>
    </xf>
    <xf numFmtId="0" fontId="18" fillId="2" borderId="7"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3" fillId="0" borderId="0" xfId="0" applyFont="1" applyAlignment="1">
      <alignment horizontal="left"/>
    </xf>
    <xf numFmtId="166" fontId="6" fillId="0" borderId="2" xfId="0" applyNumberFormat="1" applyFont="1" applyBorder="1"/>
    <xf numFmtId="166" fontId="4" fillId="0" borderId="2" xfId="0" applyNumberFormat="1" applyFont="1" applyBorder="1"/>
    <xf numFmtId="0" fontId="19" fillId="0" borderId="0" xfId="0" applyFont="1"/>
    <xf numFmtId="167" fontId="4" fillId="0" borderId="0" xfId="0" applyNumberFormat="1" applyFont="1"/>
    <xf numFmtId="0" fontId="4" fillId="10" borderId="0" xfId="0" applyFont="1" applyFill="1"/>
    <xf numFmtId="164" fontId="4" fillId="10" borderId="0" xfId="0" applyNumberFormat="1" applyFont="1" applyFill="1"/>
    <xf numFmtId="0" fontId="4" fillId="0" borderId="0" xfId="0" applyFont="1" applyAlignment="1">
      <alignment horizontal="center" vertical="center" wrapText="1"/>
    </xf>
    <xf numFmtId="0" fontId="4" fillId="10" borderId="0" xfId="0" applyFont="1" applyFill="1" applyAlignment="1">
      <alignment horizontal="center" vertical="center" wrapText="1"/>
    </xf>
    <xf numFmtId="1" fontId="15" fillId="2" borderId="7" xfId="0" applyNumberFormat="1" applyFont="1" applyFill="1" applyBorder="1" applyAlignment="1">
      <alignment horizontal="center" vertical="center" wrapText="1"/>
    </xf>
    <xf numFmtId="0" fontId="0" fillId="0" borderId="0" xfId="0" applyAlignment="1">
      <alignment horizontal="left" indent="1"/>
    </xf>
    <xf numFmtId="166" fontId="0" fillId="0" borderId="0" xfId="0" applyNumberFormat="1"/>
    <xf numFmtId="0" fontId="20" fillId="3" borderId="2" xfId="0" applyFont="1" applyFill="1" applyBorder="1" applyAlignment="1">
      <alignment horizontal="left"/>
    </xf>
    <xf numFmtId="166" fontId="20" fillId="3" borderId="2" xfId="0" applyNumberFormat="1" applyFont="1" applyFill="1" applyBorder="1"/>
    <xf numFmtId="0" fontId="20"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168" fontId="0" fillId="0" borderId="0" xfId="0" applyNumberFormat="1" applyAlignment="1">
      <alignment horizontal="center"/>
    </xf>
    <xf numFmtId="168" fontId="20" fillId="3" borderId="2" xfId="0" applyNumberFormat="1" applyFont="1" applyFill="1" applyBorder="1" applyAlignment="1">
      <alignment horizontal="center"/>
    </xf>
    <xf numFmtId="0" fontId="21" fillId="0" borderId="0" xfId="0" applyFont="1" applyAlignment="1">
      <alignment horizontal="center"/>
    </xf>
    <xf numFmtId="0" fontId="22" fillId="0" borderId="0" xfId="0" applyFont="1" applyAlignment="1">
      <alignment horizontal="center"/>
    </xf>
    <xf numFmtId="0" fontId="1" fillId="0" borderId="0" xfId="0" applyFont="1"/>
    <xf numFmtId="0" fontId="23" fillId="0" borderId="0" xfId="0" applyFont="1"/>
    <xf numFmtId="0" fontId="1" fillId="0" borderId="0" xfId="0" applyFont="1" applyAlignment="1">
      <alignment wrapText="1"/>
    </xf>
    <xf numFmtId="0" fontId="4" fillId="0" borderId="0" xfId="0" applyFont="1" applyAlignment="1">
      <alignment vertical="center"/>
    </xf>
    <xf numFmtId="166" fontId="4" fillId="0" borderId="0" xfId="0" applyNumberFormat="1" applyFont="1" applyAlignment="1">
      <alignment vertical="center"/>
    </xf>
    <xf numFmtId="9" fontId="4" fillId="0" borderId="0" xfId="1" applyFont="1" applyAlignment="1">
      <alignment vertical="center"/>
    </xf>
    <xf numFmtId="166" fontId="4" fillId="0" borderId="3" xfId="0" applyNumberFormat="1" applyFont="1" applyBorder="1" applyAlignment="1">
      <alignment vertical="center"/>
    </xf>
    <xf numFmtId="9" fontId="4" fillId="0" borderId="3" xfId="1" applyFont="1" applyBorder="1" applyAlignment="1">
      <alignment vertical="center"/>
    </xf>
    <xf numFmtId="0" fontId="25" fillId="11" borderId="0" xfId="0" applyFont="1" applyFill="1" applyAlignment="1">
      <alignment vertical="center"/>
    </xf>
    <xf numFmtId="0" fontId="26" fillId="12" borderId="1" xfId="0" applyFont="1" applyFill="1" applyBorder="1" applyAlignment="1">
      <alignment vertical="center" wrapText="1"/>
    </xf>
    <xf numFmtId="0" fontId="26" fillId="12" borderId="1" xfId="0" applyFont="1" applyFill="1" applyBorder="1" applyAlignment="1">
      <alignment horizontal="center" vertical="center" wrapText="1"/>
    </xf>
    <xf numFmtId="0" fontId="26" fillId="12" borderId="0" xfId="0" applyFont="1" applyFill="1" applyAlignment="1">
      <alignment horizontal="left" vertical="center"/>
    </xf>
    <xf numFmtId="166" fontId="26" fillId="12" borderId="0" xfId="0" applyNumberFormat="1" applyFont="1" applyFill="1" applyAlignment="1">
      <alignment vertical="center"/>
    </xf>
    <xf numFmtId="0" fontId="26" fillId="12" borderId="2" xfId="0" applyFont="1" applyFill="1" applyBorder="1" applyAlignment="1">
      <alignment horizontal="left" vertical="center"/>
    </xf>
    <xf numFmtId="166" fontId="26" fillId="12" borderId="2" xfId="0" applyNumberFormat="1" applyFont="1" applyFill="1" applyBorder="1" applyAlignment="1">
      <alignment vertical="center"/>
    </xf>
    <xf numFmtId="0" fontId="26" fillId="12" borderId="3" xfId="0" applyFont="1" applyFill="1" applyBorder="1" applyAlignment="1">
      <alignment horizontal="left" vertical="center"/>
    </xf>
    <xf numFmtId="166" fontId="26" fillId="12" borderId="3" xfId="0" applyNumberFormat="1" applyFont="1" applyFill="1" applyBorder="1" applyAlignment="1">
      <alignment vertical="center"/>
    </xf>
    <xf numFmtId="0" fontId="4" fillId="13" borderId="0" xfId="0" applyFont="1" applyFill="1" applyAlignment="1">
      <alignment vertical="center"/>
    </xf>
    <xf numFmtId="166" fontId="3" fillId="13" borderId="1" xfId="0" applyNumberFormat="1" applyFont="1" applyFill="1" applyBorder="1" applyAlignment="1">
      <alignment vertical="center"/>
    </xf>
    <xf numFmtId="9" fontId="3" fillId="13" borderId="1" xfId="1" applyFont="1" applyFill="1" applyBorder="1" applyAlignment="1">
      <alignment vertical="center"/>
    </xf>
    <xf numFmtId="9" fontId="4" fillId="0" borderId="0" xfId="1" applyFont="1" applyBorder="1" applyAlignment="1">
      <alignment vertical="center"/>
    </xf>
    <xf numFmtId="0" fontId="3" fillId="13" borderId="1" xfId="0" applyFont="1" applyFill="1" applyBorder="1" applyAlignment="1">
      <alignment horizontal="left" vertical="center" wrapText="1"/>
    </xf>
    <xf numFmtId="0" fontId="4" fillId="0" borderId="0" xfId="0" applyFont="1" applyAlignment="1">
      <alignment horizontal="left" vertical="center" wrapText="1" indent="7"/>
    </xf>
    <xf numFmtId="0" fontId="4" fillId="0" borderId="3" xfId="0" applyFont="1" applyBorder="1" applyAlignment="1">
      <alignment horizontal="left" vertical="center" wrapText="1" indent="7"/>
    </xf>
    <xf numFmtId="0" fontId="27" fillId="0" borderId="0" xfId="0" applyFont="1" applyAlignment="1">
      <alignment vertical="center" wrapText="1"/>
    </xf>
    <xf numFmtId="3" fontId="27" fillId="0" borderId="0" xfId="0" applyNumberFormat="1" applyFont="1" applyAlignment="1">
      <alignment vertical="center" wrapText="1"/>
    </xf>
    <xf numFmtId="3" fontId="4" fillId="0" borderId="0" xfId="0" applyNumberFormat="1" applyFont="1" applyAlignment="1">
      <alignment wrapText="1"/>
    </xf>
    <xf numFmtId="3" fontId="26" fillId="12" borderId="1" xfId="0" applyNumberFormat="1" applyFont="1" applyFill="1" applyBorder="1" applyAlignment="1">
      <alignment vertical="center" wrapText="1"/>
    </xf>
    <xf numFmtId="3" fontId="4" fillId="0" borderId="0" xfId="0" applyNumberFormat="1" applyFont="1"/>
    <xf numFmtId="169" fontId="3" fillId="13" borderId="1" xfId="3" applyNumberFormat="1" applyFont="1" applyFill="1" applyBorder="1" applyAlignment="1">
      <alignment horizontal="left" vertical="center" wrapText="1"/>
    </xf>
    <xf numFmtId="169" fontId="3" fillId="0" borderId="1" xfId="3" applyNumberFormat="1" applyFont="1" applyFill="1" applyBorder="1" applyAlignment="1">
      <alignment horizontal="left" vertical="center" wrapText="1"/>
    </xf>
    <xf numFmtId="166" fontId="4" fillId="0" borderId="0" xfId="0" applyNumberFormat="1" applyFont="1" applyFill="1" applyAlignment="1">
      <alignment vertical="center"/>
    </xf>
    <xf numFmtId="169" fontId="28" fillId="0" borderId="1" xfId="3" applyNumberFormat="1" applyFont="1" applyFill="1" applyBorder="1" applyAlignment="1">
      <alignment horizontal="left" vertical="center" wrapText="1"/>
    </xf>
    <xf numFmtId="0" fontId="31" fillId="0" borderId="0" xfId="0" applyFont="1" applyAlignment="1">
      <alignment horizontal="center" vertical="center"/>
    </xf>
    <xf numFmtId="0" fontId="31"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29" fillId="14" borderId="1" xfId="0" applyFont="1" applyFill="1" applyBorder="1" applyAlignment="1">
      <alignment horizontal="center" vertical="center" wrapText="1"/>
    </xf>
    <xf numFmtId="0" fontId="29" fillId="14" borderId="11" xfId="0" applyFont="1" applyFill="1" applyBorder="1" applyAlignment="1">
      <alignment horizontal="center" vertical="center" wrapText="1"/>
    </xf>
    <xf numFmtId="0" fontId="29" fillId="14" borderId="12" xfId="0" applyFont="1" applyFill="1" applyBorder="1" applyAlignment="1">
      <alignment horizontal="center" vertical="center" wrapText="1"/>
    </xf>
    <xf numFmtId="0" fontId="30" fillId="15" borderId="1" xfId="0" applyFont="1" applyFill="1" applyBorder="1" applyAlignment="1">
      <alignment horizontal="left"/>
    </xf>
    <xf numFmtId="3" fontId="30" fillId="15" borderId="1" xfId="0" applyNumberFormat="1" applyFont="1" applyFill="1" applyBorder="1"/>
    <xf numFmtId="3" fontId="30" fillId="15" borderId="11" xfId="0" applyNumberFormat="1" applyFont="1" applyFill="1" applyBorder="1"/>
    <xf numFmtId="9" fontId="30" fillId="15" borderId="1" xfId="1" applyFont="1" applyFill="1" applyBorder="1"/>
    <xf numFmtId="9" fontId="30" fillId="15" borderId="12" xfId="1" applyFont="1" applyFill="1" applyBorder="1"/>
    <xf numFmtId="3" fontId="0" fillId="0" borderId="0" xfId="0" applyNumberFormat="1"/>
    <xf numFmtId="3" fontId="0" fillId="0" borderId="13" xfId="0" applyNumberFormat="1" applyBorder="1"/>
    <xf numFmtId="9" fontId="0" fillId="0" borderId="0" xfId="1" applyFont="1" applyBorder="1"/>
    <xf numFmtId="9" fontId="0" fillId="0" borderId="14" xfId="1" applyFont="1" applyBorder="1"/>
    <xf numFmtId="3" fontId="0" fillId="0" borderId="15" xfId="0" applyNumberFormat="1" applyBorder="1"/>
    <xf numFmtId="3" fontId="0" fillId="0" borderId="16" xfId="0" applyNumberFormat="1" applyBorder="1"/>
    <xf numFmtId="9" fontId="0" fillId="0" borderId="16" xfId="1" applyFont="1" applyBorder="1"/>
    <xf numFmtId="0" fontId="29" fillId="14" borderId="2" xfId="0" applyFont="1" applyFill="1" applyBorder="1" applyAlignment="1">
      <alignment horizontal="left"/>
    </xf>
    <xf numFmtId="3" fontId="29" fillId="14" borderId="2" xfId="0" applyNumberFormat="1" applyFont="1" applyFill="1" applyBorder="1"/>
    <xf numFmtId="3" fontId="29" fillId="14" borderId="0" xfId="0" applyNumberFormat="1" applyFont="1" applyFill="1"/>
    <xf numFmtId="9" fontId="29" fillId="14" borderId="0" xfId="1" applyFont="1" applyFill="1" applyBorder="1"/>
    <xf numFmtId="3" fontId="29" fillId="14" borderId="17" xfId="0" applyNumberFormat="1" applyFont="1" applyFill="1" applyBorder="1"/>
    <xf numFmtId="3" fontId="29" fillId="14" borderId="18" xfId="0" applyNumberFormat="1" applyFont="1" applyFill="1" applyBorder="1"/>
    <xf numFmtId="9" fontId="29" fillId="14" borderId="19" xfId="1" applyFont="1" applyFill="1" applyBorder="1"/>
    <xf numFmtId="169" fontId="28" fillId="0" borderId="2" xfId="3" applyNumberFormat="1" applyFont="1" applyFill="1" applyBorder="1" applyAlignment="1">
      <alignment horizontal="left" vertical="center" wrapText="1"/>
    </xf>
    <xf numFmtId="169" fontId="28" fillId="0" borderId="0" xfId="3" applyNumberFormat="1" applyFont="1" applyFill="1" applyBorder="1" applyAlignment="1">
      <alignment horizontal="left" vertical="center" wrapText="1"/>
    </xf>
    <xf numFmtId="169" fontId="3" fillId="0" borderId="2" xfId="3" applyNumberFormat="1" applyFont="1" applyFill="1" applyBorder="1" applyAlignment="1">
      <alignment horizontal="left" vertical="center" wrapText="1"/>
    </xf>
    <xf numFmtId="169" fontId="3" fillId="0" borderId="0" xfId="3" applyNumberFormat="1" applyFont="1" applyFill="1" applyBorder="1" applyAlignment="1">
      <alignment horizontal="left" vertical="center" wrapText="1"/>
    </xf>
    <xf numFmtId="170" fontId="3" fillId="13" borderId="1" xfId="0" applyNumberFormat="1" applyFont="1" applyFill="1" applyBorder="1" applyAlignment="1">
      <alignment vertical="center"/>
    </xf>
    <xf numFmtId="0" fontId="33" fillId="0" borderId="0" xfId="0" applyFont="1" applyAlignment="1">
      <alignment horizontal="center" vertical="center"/>
    </xf>
    <xf numFmtId="0" fontId="0" fillId="0" borderId="0" xfId="0" applyAlignment="1">
      <alignment horizontal="center"/>
    </xf>
    <xf numFmtId="0" fontId="24" fillId="0" borderId="0" xfId="0" applyFont="1" applyAlignment="1">
      <alignment horizontal="left" vertical="top" wrapText="1"/>
    </xf>
    <xf numFmtId="0" fontId="4" fillId="0" borderId="0" xfId="0" applyFont="1" applyAlignment="1">
      <alignment horizontal="left" wrapText="1"/>
    </xf>
    <xf numFmtId="0" fontId="11" fillId="0" borderId="4" xfId="0" applyFont="1" applyBorder="1" applyAlignment="1">
      <alignment horizontal="center"/>
    </xf>
  </cellXfs>
  <cellStyles count="4">
    <cellStyle name="Hüperlink" xfId="2" builtinId="8"/>
    <cellStyle name="Normaallaad" xfId="0" builtinId="0"/>
    <cellStyle name="Protsent" xfId="1" builtinId="5"/>
    <cellStyle name="Valuuta" xfId="3" builtinId="4"/>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9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oman Kostrõkin" id="{2BFD4E91-2EF0-DE4A-B413-23CCDF6EAB9F}" userId="S::roman.kostrokin@tehik.ee::d33083e6-bfd5-4d4c-b09d-eed7922ce56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2.xml><?xml version="1.0" encoding="utf-8"?>
<ThreadedComments xmlns="http://schemas.microsoft.com/office/spreadsheetml/2018/threadedcomments" xmlns:x="http://schemas.openxmlformats.org/spreadsheetml/2006/main">
  <threadedComment ref="T1" dT="2024-05-01T19:48:14.50" personId="{2BFD4E91-2EF0-DE4A-B413-23CCDF6EAB9F}" id="{FE93A154-0028-0141-95DD-E037571423D2}">
    <text>Indikatiivne tunnihind</text>
  </threadedComment>
  <threadedComment ref="U1" dT="2024-05-01T19:48:46.42" personId="{2BFD4E91-2EF0-DE4A-B413-23CCDF6EAB9F}" id="{D392D2F6-C0E6-214F-B9A4-E3EE70494BAF}">
    <text>Indikatiivne kogus arendustunde h kuus</text>
  </threadedComment>
  <threadedComment ref="C3" dT="2024-04-16T06:36:31.58" personId="{2BFD4E91-2EF0-DE4A-B413-23CCDF6EAB9F}" id="{A12EA3C0-1BE5-3447-80FA-5B698A6B7A1A}">
    <text>Vastavalt sõlmitud LISA2 lepingule</text>
  </threadedComment>
  <threadedComment ref="C3" dT="2024-04-16T06:43:38.42" personId="{2BFD4E91-2EF0-DE4A-B413-23CCDF6EAB9F}" id="{A51262E0-85B7-AB49-A79E-E362C1CDC474}" parentId="{A12EA3C0-1BE5-3447-80FA-5B698A6B7A1A}">
    <text>FC - ForeCast</text>
  </threadedComment>
  <threadedComment ref="D3" dT="2024-04-16T06:37:09.00" personId="{2BFD4E91-2EF0-DE4A-B413-23CCDF6EAB9F}" id="{05DD0FF9-9904-B64D-9AA2-0BC86ECA89ED}">
    <text>Vastavalt sõlmitud LISA2 lepingule</text>
  </threadedComment>
  <threadedComment ref="G3" dT="2024-04-16T06:37:52.94" personId="{2BFD4E91-2EF0-DE4A-B413-23CCDF6EAB9F}" id="{F8BF64FF-8C14-1A48-9884-C1EDBEA5DFB3}">
    <text>Väljavõte KAISis + meile teadaolevalt laekuvate arvete mahud 15.04 seisuga</text>
  </threadedComment>
  <threadedComment ref="G3" dT="2024-04-16T06:43:48.53" personId="{2BFD4E91-2EF0-DE4A-B413-23CCDF6EAB9F}" id="{D9F15AE6-B3D8-4F4C-8A61-D5630FA75DB4}" parentId="{F8BF64FF-8C14-1A48-9884-C1EDBEA5DFB3}">
    <text>ACT- Actual</text>
  </threadedComment>
  <threadedComment ref="H3" dT="2024-04-16T06:43:07.12" personId="{2BFD4E91-2EF0-DE4A-B413-23CCDF6EAB9F}" id="{8FC36025-85A9-F84D-AD29-0A5258828C62}">
    <text>Eelneva kvartali jääk + käimasoleva kvartali planeeritud investeeringu mahud = RFC (Rolling Forecast)</text>
  </threadedComment>
  <threadedComment ref="L3" dT="2024-04-16T06:40:00.02" personId="{2BFD4E91-2EF0-DE4A-B413-23CCDF6EAB9F}" id="{EE1E1956-0BA2-CF44-90A6-F73F1C64F1DE}">
    <text>Kui plaan x&lt;75% või x&gt;100%. , siis lahter on kollane ja vajab tähelepanu. Ülekuku ja alakulu tuleb kontrolli all hoida</text>
  </threadedComment>
  <threadedComment ref="M3" dT="2024-04-16T06:42:12.01" personId="{2BFD4E91-2EF0-DE4A-B413-23CCDF6EAB9F}" id="{8514492A-5731-1F4F-846D-AE3E1027A5BC}">
    <text>Negatiivsed väärtused on väljatoodud punase värvina. Järgmises kvartalis tuleb teha tasaarveldust ning uurida juurtpõhjused</text>
  </threadedComment>
  <threadedComment ref="L71" dT="2024-04-16T06:52:11.15" personId="{2BFD4E91-2EF0-DE4A-B413-23CCDF6EAB9F}" id="{119DACF7-4626-A94D-8036-6FFC01CDDCFC}">
    <text>Keskmine plaani täituvus</text>
  </threadedComment>
</ThreadedComments>
</file>

<file path=xl/threadedComments/threadedComment3.xml><?xml version="1.0" encoding="utf-8"?>
<ThreadedComments xmlns="http://schemas.microsoft.com/office/spreadsheetml/2018/threadedcomments" xmlns:x="http://schemas.openxmlformats.org/spreadsheetml/2006/main">
  <threadedComment ref="F7" dT="2024-02-23T15:37:42.83" personId="{2BFD4E91-2EF0-DE4A-B413-23CCDF6EAB9F}" id="{D366C9E7-25D6-2A40-B137-3460BF68AA5B}">
    <text>Summa puudus</text>
  </threadedComment>
  <threadedComment ref="F14" dT="2024-02-23T15:06:29.74" personId="{2BFD4E91-2EF0-DE4A-B413-23CCDF6EAB9F}" id="{E81F342B-DE45-EF4D-8A2E-1863A9FB3E96}">
    <text>Otsus 15.02: Sel aastal taotleme ainult pool summast. Töö jätkub 2025 aasta</text>
  </threadedComment>
  <threadedComment ref="F19" dT="2024-02-23T15:02:45.31" personId="{2BFD4E91-2EF0-DE4A-B413-23CCDF6EAB9F}" id="{F0E90816-2C5C-C647-BE3F-23C174ADCDDC}">
    <text>Otsus 15.02: Sel aastal taotleme ainult pool summast. Töö jätkub 2025 aastal</text>
  </threadedComment>
  <threadedComment ref="F28" dT="2024-02-23T15:16:26.19" personId="{2BFD4E91-2EF0-DE4A-B413-23CCDF6EAB9F}" id="{FB8D08BB-E52E-D948-92A3-3D0DDB4523BB}">
    <text>Otsus 15.02: et sel aasatl taotleme ainult 70% kogusummasts. Tööd jätkuvad 2025 aastal</text>
  </threadedComment>
  <threadedComment ref="F32" dT="2024-02-23T15:21:38.64" personId="{2BFD4E91-2EF0-DE4A-B413-23CCDF6EAB9F}" id="{5C7F44FF-F396-5A49-B4E3-CCCA69B21CAB}">
    <text>Summa puudus</text>
  </threadedComment>
  <threadedComment ref="F33" dT="2024-02-23T15:26:16.29" personId="{2BFD4E91-2EF0-DE4A-B413-23CCDF6EAB9F}" id="{7740D8C1-DF81-E146-9C75-84D9063BB406}">
    <text>Summa puudus</text>
  </threadedComment>
  <threadedComment ref="F34" dT="2024-02-23T15:23:19.88" personId="{2BFD4E91-2EF0-DE4A-B413-23CCDF6EAB9F}" id="{5E0CBA5C-5DE6-0047-AA01-A8969F473E24}">
    <text>Summa puudus</text>
  </threadedComment>
  <threadedComment ref="F36" dT="2024-02-23T15:19:28.69" personId="{2BFD4E91-2EF0-DE4A-B413-23CCDF6EAB9F}" id="{56720866-7CAA-D242-B8FE-92366B4B55EB}">
    <text>Otsus 15.02: et sel aasatl taotleme ainult 20% kogusummast</text>
  </threadedComment>
</ThreadedComment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3" Type="http://schemas.openxmlformats.org/officeDocument/2006/relationships/hyperlink" Target="https://smjira.sm.ee/browse/PROJ-3616" TargetMode="External"/><Relationship Id="rId18" Type="http://schemas.openxmlformats.org/officeDocument/2006/relationships/hyperlink" Target="https://smjira.sm.ee/browse/PROJ-3611" TargetMode="External"/><Relationship Id="rId26" Type="http://schemas.openxmlformats.org/officeDocument/2006/relationships/hyperlink" Target="https://smjira.sm.ee/browse/PROJ-3468" TargetMode="External"/><Relationship Id="rId39" Type="http://schemas.microsoft.com/office/2017/10/relationships/threadedComment" Target="../threadedComments/threadedComment3.xml"/><Relationship Id="rId21" Type="http://schemas.openxmlformats.org/officeDocument/2006/relationships/hyperlink" Target="https://smjira.sm.ee/browse/PROJ-3608" TargetMode="External"/><Relationship Id="rId34" Type="http://schemas.openxmlformats.org/officeDocument/2006/relationships/hyperlink" Target="https://smjira.sm.ee/browse/PROJ-3500" TargetMode="External"/><Relationship Id="rId7" Type="http://schemas.openxmlformats.org/officeDocument/2006/relationships/hyperlink" Target="https://smjira.sm.ee/browse/PROJ-3667" TargetMode="External"/><Relationship Id="rId12" Type="http://schemas.openxmlformats.org/officeDocument/2006/relationships/hyperlink" Target="https://smjira.sm.ee/browse/PROJ-3618" TargetMode="External"/><Relationship Id="rId17" Type="http://schemas.openxmlformats.org/officeDocument/2006/relationships/hyperlink" Target="https://smjira.sm.ee/browse/PROJ-3612" TargetMode="External"/><Relationship Id="rId25" Type="http://schemas.openxmlformats.org/officeDocument/2006/relationships/hyperlink" Target="https://smjira.sm.ee/browse/PROJ-3571" TargetMode="External"/><Relationship Id="rId33" Type="http://schemas.openxmlformats.org/officeDocument/2006/relationships/hyperlink" Target="https://smjira.sm.ee/browse/PROJ-3708" TargetMode="External"/><Relationship Id="rId38" Type="http://schemas.openxmlformats.org/officeDocument/2006/relationships/comments" Target="../comments1.xml"/><Relationship Id="rId2" Type="http://schemas.openxmlformats.org/officeDocument/2006/relationships/hyperlink" Target="https://smjira.sm.ee/browse/PROJ-3825" TargetMode="External"/><Relationship Id="rId16" Type="http://schemas.openxmlformats.org/officeDocument/2006/relationships/hyperlink" Target="https://smjira.sm.ee/browse/PROJ-3613" TargetMode="External"/><Relationship Id="rId20" Type="http://schemas.openxmlformats.org/officeDocument/2006/relationships/hyperlink" Target="https://smjira.sm.ee/browse/PROJ-3609" TargetMode="External"/><Relationship Id="rId29" Type="http://schemas.openxmlformats.org/officeDocument/2006/relationships/hyperlink" Target="https://smjira.sm.ee/browse/PROJ-3459" TargetMode="External"/><Relationship Id="rId1" Type="http://schemas.openxmlformats.org/officeDocument/2006/relationships/hyperlink" Target="https://smjira.sm.ee/browse/PROJ-3831" TargetMode="External"/><Relationship Id="rId6" Type="http://schemas.openxmlformats.org/officeDocument/2006/relationships/hyperlink" Target="https://smjira.sm.ee/browse/PROJ-3668" TargetMode="External"/><Relationship Id="rId11" Type="http://schemas.openxmlformats.org/officeDocument/2006/relationships/hyperlink" Target="https://smjira.sm.ee/browse/PROJ-3619" TargetMode="External"/><Relationship Id="rId24" Type="http://schemas.openxmlformats.org/officeDocument/2006/relationships/hyperlink" Target="https://smjira.sm.ee/browse/PROJ-3572" TargetMode="External"/><Relationship Id="rId32" Type="http://schemas.openxmlformats.org/officeDocument/2006/relationships/hyperlink" Target="https://smjira.sm.ee/browse/PROJ-3806" TargetMode="External"/><Relationship Id="rId37" Type="http://schemas.openxmlformats.org/officeDocument/2006/relationships/vmlDrawing" Target="../drawings/vmlDrawing1.vml"/><Relationship Id="rId5" Type="http://schemas.openxmlformats.org/officeDocument/2006/relationships/hyperlink" Target="https://smjira.sm.ee/browse/PROJ-3758" TargetMode="External"/><Relationship Id="rId15" Type="http://schemas.openxmlformats.org/officeDocument/2006/relationships/hyperlink" Target="https://smjira.sm.ee/browse/PROJ-3614" TargetMode="External"/><Relationship Id="rId23" Type="http://schemas.openxmlformats.org/officeDocument/2006/relationships/hyperlink" Target="https://smjira.sm.ee/browse/PROJ-3575" TargetMode="External"/><Relationship Id="rId28" Type="http://schemas.openxmlformats.org/officeDocument/2006/relationships/hyperlink" Target="https://smjira.sm.ee/browse/PROJ-3463" TargetMode="External"/><Relationship Id="rId36" Type="http://schemas.openxmlformats.org/officeDocument/2006/relationships/printerSettings" Target="../printerSettings/printerSettings2.bin"/><Relationship Id="rId10" Type="http://schemas.openxmlformats.org/officeDocument/2006/relationships/hyperlink" Target="https://smjira.sm.ee/browse/PROJ-3620" TargetMode="External"/><Relationship Id="rId19" Type="http://schemas.openxmlformats.org/officeDocument/2006/relationships/hyperlink" Target="https://smjira.sm.ee/browse/PROJ-3610" TargetMode="External"/><Relationship Id="rId31" Type="http://schemas.openxmlformats.org/officeDocument/2006/relationships/hyperlink" Target="https://smjira.sm.ee/browse/PROJ-3455" TargetMode="External"/><Relationship Id="rId4" Type="http://schemas.openxmlformats.org/officeDocument/2006/relationships/hyperlink" Target="https://smjira.sm.ee/browse/PROJ-3793" TargetMode="External"/><Relationship Id="rId9" Type="http://schemas.openxmlformats.org/officeDocument/2006/relationships/hyperlink" Target="https://smjira.sm.ee/browse/PROJ-3622" TargetMode="External"/><Relationship Id="rId14" Type="http://schemas.openxmlformats.org/officeDocument/2006/relationships/hyperlink" Target="https://smjira.sm.ee/browse/PROJ-3615" TargetMode="External"/><Relationship Id="rId22" Type="http://schemas.openxmlformats.org/officeDocument/2006/relationships/hyperlink" Target="https://smjira.sm.ee/browse/PROJ-3594" TargetMode="External"/><Relationship Id="rId27" Type="http://schemas.openxmlformats.org/officeDocument/2006/relationships/hyperlink" Target="https://smjira.sm.ee/browse/PROJ-3467" TargetMode="External"/><Relationship Id="rId30" Type="http://schemas.openxmlformats.org/officeDocument/2006/relationships/hyperlink" Target="https://smjira.sm.ee/browse/PROJ-3457" TargetMode="External"/><Relationship Id="rId35" Type="http://schemas.openxmlformats.org/officeDocument/2006/relationships/hyperlink" Target="https://smjira.sm.ee/browse/PROJ-3873" TargetMode="External"/><Relationship Id="rId8" Type="http://schemas.openxmlformats.org/officeDocument/2006/relationships/hyperlink" Target="https://smjira.sm.ee/browse/PROJ-3631" TargetMode="External"/><Relationship Id="rId3" Type="http://schemas.openxmlformats.org/officeDocument/2006/relationships/hyperlink" Target="https://smjira.sm.ee/browse/PROJ-38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CC12-81AC-DA42-B1AB-669F3539286B}">
  <dimension ref="A2:B8"/>
  <sheetViews>
    <sheetView zoomScaleNormal="100" workbookViewId="0">
      <selection activeCell="E5" sqref="E5:E6"/>
    </sheetView>
  </sheetViews>
  <sheetFormatPr defaultColWidth="10.81640625" defaultRowHeight="15"/>
  <cols>
    <col min="2" max="2" width="173.36328125" customWidth="1"/>
  </cols>
  <sheetData>
    <row r="2" spans="1:2" ht="17.399999999999999">
      <c r="A2" s="78"/>
      <c r="B2" s="79" t="s">
        <v>330</v>
      </c>
    </row>
    <row r="3" spans="1:2" ht="75">
      <c r="A3" s="78"/>
      <c r="B3" s="80" t="s">
        <v>331</v>
      </c>
    </row>
    <row r="6" spans="1:2" ht="17.399999999999999">
      <c r="B6" s="79" t="s">
        <v>332</v>
      </c>
    </row>
    <row r="7" spans="1:2" ht="408.9" customHeight="1">
      <c r="A7" s="143"/>
      <c r="B7" s="144" t="s">
        <v>333</v>
      </c>
    </row>
    <row r="8" spans="1:2" ht="84.9" customHeight="1">
      <c r="A8" s="143"/>
      <c r="B8" s="144"/>
    </row>
  </sheetData>
  <mergeCells count="2">
    <mergeCell ref="A7:A8"/>
    <mergeCell ref="B7:B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2D1BB-64FE-46B1-A10C-D4820EFFA7F0}">
  <dimension ref="A1:I48"/>
  <sheetViews>
    <sheetView topLeftCell="A19" workbookViewId="0">
      <selection activeCell="H7" sqref="H7"/>
    </sheetView>
  </sheetViews>
  <sheetFormatPr defaultRowHeight="15"/>
  <cols>
    <col min="1" max="1" width="23" bestFit="1" customWidth="1"/>
    <col min="2" max="2" width="9.90625" customWidth="1"/>
    <col min="3" max="8" width="9.81640625" customWidth="1"/>
    <col min="9" max="9" width="9.54296875" customWidth="1"/>
  </cols>
  <sheetData>
    <row r="1" spans="1:9" ht="17.399999999999999">
      <c r="B1" s="111" t="s">
        <v>328</v>
      </c>
      <c r="C1" s="112" t="s">
        <v>328</v>
      </c>
      <c r="D1" s="113" t="s">
        <v>358</v>
      </c>
      <c r="E1" s="113" t="s">
        <v>358</v>
      </c>
      <c r="F1" s="112" t="s">
        <v>328</v>
      </c>
      <c r="G1" s="113" t="s">
        <v>358</v>
      </c>
      <c r="H1" s="114" t="s">
        <v>358</v>
      </c>
      <c r="I1" s="142" t="s">
        <v>366</v>
      </c>
    </row>
    <row r="2" spans="1:9" ht="41.4">
      <c r="A2" s="115"/>
      <c r="B2" s="115" t="s">
        <v>73</v>
      </c>
      <c r="C2" s="116" t="s">
        <v>359</v>
      </c>
      <c r="D2" s="115" t="s">
        <v>360</v>
      </c>
      <c r="E2" s="115" t="s">
        <v>361</v>
      </c>
      <c r="F2" s="116" t="s">
        <v>362</v>
      </c>
      <c r="G2" s="115" t="s">
        <v>363</v>
      </c>
      <c r="H2" s="117" t="s">
        <v>364</v>
      </c>
      <c r="I2" s="115" t="s">
        <v>367</v>
      </c>
    </row>
    <row r="3" spans="1:9">
      <c r="A3" s="118" t="s">
        <v>334</v>
      </c>
      <c r="B3" s="119">
        <v>458199.9952</v>
      </c>
      <c r="C3" s="120">
        <v>114549.9988</v>
      </c>
      <c r="D3" s="119">
        <v>96274.998800000001</v>
      </c>
      <c r="E3" s="121">
        <v>0.84046267838110178</v>
      </c>
      <c r="F3" s="120">
        <v>96274.998800000001</v>
      </c>
      <c r="G3" s="119">
        <v>107695.2724</v>
      </c>
      <c r="H3" s="122">
        <v>1.1186213839765844</v>
      </c>
      <c r="I3" s="119">
        <v>254229.72399999999</v>
      </c>
    </row>
    <row r="4" spans="1:9">
      <c r="A4" s="68" t="s">
        <v>347</v>
      </c>
      <c r="B4" s="123">
        <v>36500</v>
      </c>
      <c r="C4" s="124">
        <v>9125</v>
      </c>
      <c r="D4" s="123"/>
      <c r="E4" s="125">
        <v>0</v>
      </c>
      <c r="F4" s="124">
        <v>0</v>
      </c>
      <c r="G4" s="123"/>
      <c r="H4" s="126">
        <v>0</v>
      </c>
      <c r="I4" s="123">
        <v>36500</v>
      </c>
    </row>
    <row r="5" spans="1:9">
      <c r="A5" s="68" t="s">
        <v>341</v>
      </c>
      <c r="B5" s="123">
        <v>36600</v>
      </c>
      <c r="C5" s="124">
        <v>9150</v>
      </c>
      <c r="D5" s="123"/>
      <c r="E5" s="125">
        <v>0</v>
      </c>
      <c r="F5" s="124">
        <v>0</v>
      </c>
      <c r="G5" s="123">
        <v>11420.2736</v>
      </c>
      <c r="H5" s="126">
        <v>0</v>
      </c>
      <c r="I5" s="123">
        <v>25179.7264</v>
      </c>
    </row>
    <row r="6" spans="1:9">
      <c r="A6" s="68" t="s">
        <v>349</v>
      </c>
      <c r="B6" s="123">
        <v>248083.9952</v>
      </c>
      <c r="C6" s="124">
        <v>62020.998800000001</v>
      </c>
      <c r="D6" s="123">
        <v>62020.998800000001</v>
      </c>
      <c r="E6" s="125">
        <v>1</v>
      </c>
      <c r="F6" s="124">
        <v>62020.998800000001</v>
      </c>
      <c r="G6" s="123">
        <v>62020.998800000001</v>
      </c>
      <c r="H6" s="126">
        <v>1</v>
      </c>
      <c r="I6" s="123">
        <v>124041.9976</v>
      </c>
    </row>
    <row r="7" spans="1:9">
      <c r="A7" s="68" t="s">
        <v>346</v>
      </c>
      <c r="B7" s="123">
        <v>137016</v>
      </c>
      <c r="C7" s="124">
        <v>34254</v>
      </c>
      <c r="D7" s="123">
        <v>34254</v>
      </c>
      <c r="E7" s="125">
        <v>1</v>
      </c>
      <c r="F7" s="124">
        <v>34254</v>
      </c>
      <c r="G7" s="123">
        <v>34254</v>
      </c>
      <c r="H7" s="126">
        <v>1</v>
      </c>
      <c r="I7" s="123">
        <v>68508</v>
      </c>
    </row>
    <row r="8" spans="1:9">
      <c r="A8" s="118" t="s">
        <v>335</v>
      </c>
      <c r="B8" s="119">
        <v>289200</v>
      </c>
      <c r="C8" s="120">
        <v>72300</v>
      </c>
      <c r="D8" s="119">
        <v>106214.9</v>
      </c>
      <c r="E8" s="121">
        <v>1.469085753803596</v>
      </c>
      <c r="F8" s="120">
        <v>106214.9</v>
      </c>
      <c r="G8" s="119">
        <v>88095.703199999989</v>
      </c>
      <c r="H8" s="122">
        <v>0.82941002815989084</v>
      </c>
      <c r="I8" s="119">
        <v>94889.396800000017</v>
      </c>
    </row>
    <row r="9" spans="1:9">
      <c r="A9" s="68" t="s">
        <v>341</v>
      </c>
      <c r="B9" s="123">
        <v>112088</v>
      </c>
      <c r="C9" s="124">
        <v>28022</v>
      </c>
      <c r="D9" s="123">
        <v>55907.56</v>
      </c>
      <c r="E9" s="125">
        <v>1.9951309685247305</v>
      </c>
      <c r="F9" s="124">
        <v>55907.56</v>
      </c>
      <c r="G9" s="123">
        <v>44734.473399999988</v>
      </c>
      <c r="H9" s="126">
        <v>0.80015070233793051</v>
      </c>
      <c r="I9" s="123">
        <v>11445.966600000014</v>
      </c>
    </row>
    <row r="10" spans="1:9">
      <c r="A10" s="68" t="s">
        <v>343</v>
      </c>
      <c r="B10" s="123">
        <v>11468</v>
      </c>
      <c r="C10" s="124">
        <v>2867</v>
      </c>
      <c r="D10" s="123">
        <v>9210.09</v>
      </c>
      <c r="E10" s="125">
        <v>3.2124485524938962</v>
      </c>
      <c r="F10" s="124">
        <v>9210.09</v>
      </c>
      <c r="G10" s="123">
        <v>2257.9112</v>
      </c>
      <c r="H10" s="126">
        <v>0.245156257973592</v>
      </c>
      <c r="I10" s="123">
        <v>-1.2000000001535227E-3</v>
      </c>
    </row>
    <row r="11" spans="1:9">
      <c r="A11" s="68" t="s">
        <v>349</v>
      </c>
      <c r="B11" s="123">
        <v>35840</v>
      </c>
      <c r="C11" s="124">
        <v>8960</v>
      </c>
      <c r="D11" s="123">
        <v>8960</v>
      </c>
      <c r="E11" s="125">
        <v>1</v>
      </c>
      <c r="F11" s="124">
        <v>8960</v>
      </c>
      <c r="G11" s="123">
        <v>8960</v>
      </c>
      <c r="H11" s="126">
        <v>1</v>
      </c>
      <c r="I11" s="123">
        <v>17920</v>
      </c>
    </row>
    <row r="12" spans="1:9">
      <c r="A12" s="68" t="s">
        <v>342</v>
      </c>
      <c r="B12" s="123">
        <v>11590</v>
      </c>
      <c r="C12" s="124">
        <v>2897.5</v>
      </c>
      <c r="D12" s="123">
        <v>2583.75</v>
      </c>
      <c r="E12" s="125">
        <v>0.89171699741156174</v>
      </c>
      <c r="F12" s="124">
        <v>2583.75</v>
      </c>
      <c r="G12" s="123">
        <v>2589.8185999999992</v>
      </c>
      <c r="H12" s="126">
        <v>1.0023487566521525</v>
      </c>
      <c r="I12" s="123">
        <v>6416.4314000000013</v>
      </c>
    </row>
    <row r="13" spans="1:9">
      <c r="A13" s="68" t="s">
        <v>346</v>
      </c>
      <c r="B13" s="123">
        <v>118214</v>
      </c>
      <c r="C13" s="124">
        <v>29553.5</v>
      </c>
      <c r="D13" s="123">
        <v>29553.5</v>
      </c>
      <c r="E13" s="125">
        <v>1</v>
      </c>
      <c r="F13" s="124">
        <v>29553.5</v>
      </c>
      <c r="G13" s="123">
        <v>29553.5</v>
      </c>
      <c r="H13" s="126">
        <v>1</v>
      </c>
      <c r="I13" s="123">
        <v>59107</v>
      </c>
    </row>
    <row r="14" spans="1:9">
      <c r="A14" s="118" t="s">
        <v>336</v>
      </c>
      <c r="B14" s="119">
        <v>449700.00160000002</v>
      </c>
      <c r="C14" s="120">
        <v>112425.0004</v>
      </c>
      <c r="D14" s="119">
        <v>76971.421600000001</v>
      </c>
      <c r="E14" s="121">
        <v>0.68464684301660006</v>
      </c>
      <c r="F14" s="120">
        <v>76971.421600000001</v>
      </c>
      <c r="G14" s="119">
        <v>61227.034799999994</v>
      </c>
      <c r="H14" s="122">
        <v>0.79545152638833416</v>
      </c>
      <c r="I14" s="119">
        <v>311501.54520000005</v>
      </c>
    </row>
    <row r="15" spans="1:9">
      <c r="A15" s="68" t="s">
        <v>348</v>
      </c>
      <c r="B15" s="123">
        <v>7900</v>
      </c>
      <c r="C15" s="124">
        <v>1975</v>
      </c>
      <c r="D15" s="123"/>
      <c r="E15" s="125">
        <v>0</v>
      </c>
      <c r="F15" s="124">
        <v>0</v>
      </c>
      <c r="G15" s="123"/>
      <c r="H15" s="126">
        <v>0</v>
      </c>
      <c r="I15" s="123">
        <v>7900</v>
      </c>
    </row>
    <row r="16" spans="1:9">
      <c r="A16" s="68" t="s">
        <v>347</v>
      </c>
      <c r="B16" s="123">
        <v>34000</v>
      </c>
      <c r="C16" s="124">
        <v>8500</v>
      </c>
      <c r="D16" s="123"/>
      <c r="E16" s="125">
        <v>0</v>
      </c>
      <c r="F16" s="124">
        <v>0</v>
      </c>
      <c r="G16" s="123"/>
      <c r="H16" s="126">
        <v>0</v>
      </c>
      <c r="I16" s="123">
        <v>34000</v>
      </c>
    </row>
    <row r="17" spans="1:9">
      <c r="A17" s="68" t="s">
        <v>341</v>
      </c>
      <c r="B17" s="123">
        <v>128741.72</v>
      </c>
      <c r="C17" s="124">
        <v>32185.43</v>
      </c>
      <c r="D17" s="123">
        <v>25364.16</v>
      </c>
      <c r="E17" s="125">
        <v>0.78806341875811503</v>
      </c>
      <c r="F17" s="124">
        <v>25364.159999999996</v>
      </c>
      <c r="G17" s="123">
        <v>9735.3193999999985</v>
      </c>
      <c r="H17" s="126">
        <v>0.38382187306814025</v>
      </c>
      <c r="I17" s="123">
        <v>93642.240600000005</v>
      </c>
    </row>
    <row r="18" spans="1:9">
      <c r="A18" s="68" t="s">
        <v>344</v>
      </c>
      <c r="B18" s="123">
        <v>6775.88</v>
      </c>
      <c r="C18" s="124">
        <v>1693.97</v>
      </c>
      <c r="D18" s="123"/>
      <c r="E18" s="125">
        <v>0</v>
      </c>
      <c r="F18" s="124">
        <v>0</v>
      </c>
      <c r="G18" s="123"/>
      <c r="H18" s="126">
        <v>0</v>
      </c>
      <c r="I18" s="123">
        <v>6775.88</v>
      </c>
    </row>
    <row r="19" spans="1:9">
      <c r="A19" s="68" t="s">
        <v>349</v>
      </c>
      <c r="B19" s="123">
        <v>29286.401599999997</v>
      </c>
      <c r="C19" s="124">
        <v>7321.6003999999994</v>
      </c>
      <c r="D19" s="123">
        <v>7321.6003999999994</v>
      </c>
      <c r="E19" s="125">
        <v>1</v>
      </c>
      <c r="F19" s="124">
        <v>7321.6003999999994</v>
      </c>
      <c r="G19" s="123">
        <v>7321.6003999999994</v>
      </c>
      <c r="H19" s="126">
        <v>1</v>
      </c>
      <c r="I19" s="123">
        <v>14643.200799999999</v>
      </c>
    </row>
    <row r="20" spans="1:9">
      <c r="A20" s="68" t="s">
        <v>345</v>
      </c>
      <c r="B20" s="123">
        <v>58560</v>
      </c>
      <c r="C20" s="124">
        <v>14640</v>
      </c>
      <c r="D20" s="123"/>
      <c r="E20" s="125">
        <v>0</v>
      </c>
      <c r="F20" s="124">
        <v>0</v>
      </c>
      <c r="G20" s="123"/>
      <c r="H20" s="126">
        <v>0</v>
      </c>
      <c r="I20" s="123">
        <v>58560</v>
      </c>
    </row>
    <row r="21" spans="1:9">
      <c r="A21" s="68" t="s">
        <v>342</v>
      </c>
      <c r="B21" s="123">
        <v>14640</v>
      </c>
      <c r="C21" s="124">
        <v>3660</v>
      </c>
      <c r="D21" s="123">
        <v>1836.6612</v>
      </c>
      <c r="E21" s="125">
        <v>0.50182000000000004</v>
      </c>
      <c r="F21" s="124">
        <v>1836.6612000000005</v>
      </c>
      <c r="G21" s="123">
        <v>1721.115</v>
      </c>
      <c r="H21" s="126">
        <v>0.93708899605436191</v>
      </c>
      <c r="I21" s="123">
        <v>11082.2238</v>
      </c>
    </row>
    <row r="22" spans="1:9">
      <c r="A22" s="68" t="s">
        <v>346</v>
      </c>
      <c r="B22" s="123">
        <v>169796</v>
      </c>
      <c r="C22" s="124">
        <v>42449</v>
      </c>
      <c r="D22" s="123">
        <v>42449</v>
      </c>
      <c r="E22" s="125">
        <v>1</v>
      </c>
      <c r="F22" s="124">
        <v>42449</v>
      </c>
      <c r="G22" s="123">
        <v>42449</v>
      </c>
      <c r="H22" s="126">
        <v>1</v>
      </c>
      <c r="I22" s="123">
        <v>84898</v>
      </c>
    </row>
    <row r="23" spans="1:9">
      <c r="A23" s="118" t="s">
        <v>337</v>
      </c>
      <c r="B23" s="119">
        <v>160400</v>
      </c>
      <c r="C23" s="120">
        <v>40100</v>
      </c>
      <c r="D23" s="119">
        <v>14505</v>
      </c>
      <c r="E23" s="121">
        <v>0.36172069825436409</v>
      </c>
      <c r="F23" s="120">
        <v>14505</v>
      </c>
      <c r="G23" s="119">
        <v>14505</v>
      </c>
      <c r="H23" s="122">
        <v>1</v>
      </c>
      <c r="I23" s="119">
        <v>131390</v>
      </c>
    </row>
    <row r="24" spans="1:9">
      <c r="A24" s="68" t="s">
        <v>347</v>
      </c>
      <c r="B24" s="123">
        <v>36500</v>
      </c>
      <c r="C24" s="124">
        <v>9125</v>
      </c>
      <c r="D24" s="123"/>
      <c r="E24" s="125">
        <v>0</v>
      </c>
      <c r="F24" s="124">
        <v>0</v>
      </c>
      <c r="G24" s="123"/>
      <c r="H24" s="126">
        <v>0</v>
      </c>
      <c r="I24" s="123">
        <v>36500</v>
      </c>
    </row>
    <row r="25" spans="1:9">
      <c r="A25" s="68" t="s">
        <v>341</v>
      </c>
      <c r="B25" s="123">
        <v>45384</v>
      </c>
      <c r="C25" s="124">
        <v>11346</v>
      </c>
      <c r="D25" s="123"/>
      <c r="E25" s="125">
        <v>0</v>
      </c>
      <c r="F25" s="124">
        <v>0</v>
      </c>
      <c r="G25" s="123"/>
      <c r="H25" s="126">
        <v>0</v>
      </c>
      <c r="I25" s="123">
        <v>45384</v>
      </c>
    </row>
    <row r="26" spans="1:9">
      <c r="A26" s="68" t="s">
        <v>344</v>
      </c>
      <c r="B26" s="123">
        <v>8784</v>
      </c>
      <c r="C26" s="124">
        <v>2196</v>
      </c>
      <c r="D26" s="123"/>
      <c r="E26" s="125">
        <v>0</v>
      </c>
      <c r="F26" s="124">
        <v>0</v>
      </c>
      <c r="G26" s="123"/>
      <c r="H26" s="126">
        <v>0</v>
      </c>
      <c r="I26" s="123">
        <v>8784</v>
      </c>
    </row>
    <row r="27" spans="1:9">
      <c r="A27" s="68" t="s">
        <v>349</v>
      </c>
      <c r="B27" s="123">
        <v>14060</v>
      </c>
      <c r="C27" s="124">
        <v>3515</v>
      </c>
      <c r="D27" s="123">
        <v>3515</v>
      </c>
      <c r="E27" s="125">
        <v>1</v>
      </c>
      <c r="F27" s="124">
        <v>3515</v>
      </c>
      <c r="G27" s="123">
        <v>3515</v>
      </c>
      <c r="H27" s="126">
        <v>1</v>
      </c>
      <c r="I27" s="123">
        <v>7030</v>
      </c>
    </row>
    <row r="28" spans="1:9">
      <c r="A28" s="68" t="s">
        <v>345</v>
      </c>
      <c r="B28" s="123">
        <v>11712</v>
      </c>
      <c r="C28" s="124">
        <v>2928</v>
      </c>
      <c r="D28" s="123"/>
      <c r="E28" s="125">
        <v>0</v>
      </c>
      <c r="F28" s="124">
        <v>0</v>
      </c>
      <c r="G28" s="123"/>
      <c r="H28" s="126">
        <v>0</v>
      </c>
      <c r="I28" s="123">
        <v>11712</v>
      </c>
    </row>
    <row r="29" spans="1:9">
      <c r="A29" s="68" t="s">
        <v>346</v>
      </c>
      <c r="B29" s="123">
        <v>43960</v>
      </c>
      <c r="C29" s="124">
        <v>10990</v>
      </c>
      <c r="D29" s="123">
        <v>10990</v>
      </c>
      <c r="E29" s="125">
        <v>1</v>
      </c>
      <c r="F29" s="124">
        <v>10990</v>
      </c>
      <c r="G29" s="123">
        <v>10990</v>
      </c>
      <c r="H29" s="126">
        <v>1</v>
      </c>
      <c r="I29" s="123">
        <v>21980</v>
      </c>
    </row>
    <row r="30" spans="1:9">
      <c r="A30" s="118" t="s">
        <v>338</v>
      </c>
      <c r="B30" s="119">
        <v>102500</v>
      </c>
      <c r="C30" s="120">
        <v>25625</v>
      </c>
      <c r="D30" s="119">
        <v>27904.875</v>
      </c>
      <c r="E30" s="121">
        <v>1.0889707317073172</v>
      </c>
      <c r="F30" s="120">
        <v>27904.875</v>
      </c>
      <c r="G30" s="119">
        <v>26675.724999999999</v>
      </c>
      <c r="H30" s="122">
        <v>0.95595214097895076</v>
      </c>
      <c r="I30" s="119">
        <v>47919.4</v>
      </c>
    </row>
    <row r="31" spans="1:9">
      <c r="A31" s="68" t="s">
        <v>341</v>
      </c>
      <c r="B31" s="123">
        <v>30530.5</v>
      </c>
      <c r="C31" s="124">
        <v>7632.625</v>
      </c>
      <c r="D31" s="123">
        <v>9912.5</v>
      </c>
      <c r="E31" s="125">
        <v>1.2987012987012987</v>
      </c>
      <c r="F31" s="124">
        <v>9912.5</v>
      </c>
      <c r="G31" s="123">
        <v>8683.35</v>
      </c>
      <c r="H31" s="126">
        <v>0.876</v>
      </c>
      <c r="I31" s="123">
        <v>11934.65</v>
      </c>
    </row>
    <row r="32" spans="1:9">
      <c r="A32" s="68" t="s">
        <v>349</v>
      </c>
      <c r="B32" s="123">
        <v>25055.5</v>
      </c>
      <c r="C32" s="124">
        <v>6263.875</v>
      </c>
      <c r="D32" s="123">
        <v>6263.875</v>
      </c>
      <c r="E32" s="125">
        <v>1</v>
      </c>
      <c r="F32" s="124">
        <v>6263.875</v>
      </c>
      <c r="G32" s="123">
        <v>6263.875</v>
      </c>
      <c r="H32" s="126">
        <v>1</v>
      </c>
      <c r="I32" s="123">
        <v>12527.75</v>
      </c>
    </row>
    <row r="33" spans="1:9">
      <c r="A33" s="68" t="s">
        <v>346</v>
      </c>
      <c r="B33" s="123">
        <v>46914</v>
      </c>
      <c r="C33" s="124">
        <v>11728.5</v>
      </c>
      <c r="D33" s="123">
        <v>11728.5</v>
      </c>
      <c r="E33" s="125">
        <v>1</v>
      </c>
      <c r="F33" s="124">
        <v>11728.5</v>
      </c>
      <c r="G33" s="123">
        <v>11728.5</v>
      </c>
      <c r="H33" s="126">
        <v>1</v>
      </c>
      <c r="I33" s="123">
        <v>23457</v>
      </c>
    </row>
    <row r="34" spans="1:9">
      <c r="A34" s="118" t="s">
        <v>339</v>
      </c>
      <c r="B34" s="119">
        <v>1000600</v>
      </c>
      <c r="C34" s="120">
        <v>250150</v>
      </c>
      <c r="D34" s="119">
        <v>245261.45</v>
      </c>
      <c r="E34" s="121">
        <v>0.98045752548470921</v>
      </c>
      <c r="F34" s="120">
        <v>245261.45</v>
      </c>
      <c r="G34" s="119">
        <v>219254.454</v>
      </c>
      <c r="H34" s="122">
        <v>0.89396215344890106</v>
      </c>
      <c r="I34" s="119">
        <v>536084.09600000002</v>
      </c>
    </row>
    <row r="35" spans="1:9">
      <c r="A35" s="68" t="s">
        <v>348</v>
      </c>
      <c r="B35" s="123">
        <v>19032</v>
      </c>
      <c r="C35" s="124">
        <v>4758</v>
      </c>
      <c r="D35" s="123"/>
      <c r="E35" s="125">
        <v>0</v>
      </c>
      <c r="F35" s="124">
        <v>0</v>
      </c>
      <c r="G35" s="123"/>
      <c r="H35" s="126">
        <v>0</v>
      </c>
      <c r="I35" s="123">
        <v>19032</v>
      </c>
    </row>
    <row r="36" spans="1:9">
      <c r="A36" s="68" t="s">
        <v>347</v>
      </c>
      <c r="B36" s="123">
        <v>316268</v>
      </c>
      <c r="C36" s="124">
        <v>79067</v>
      </c>
      <c r="D36" s="123">
        <v>138488.31</v>
      </c>
      <c r="E36" s="125">
        <v>1.7515311065299051</v>
      </c>
      <c r="F36" s="124">
        <v>138488.31</v>
      </c>
      <c r="G36" s="123">
        <v>104486.41</v>
      </c>
      <c r="H36" s="126">
        <v>0.75447819386343873</v>
      </c>
      <c r="I36" s="123">
        <v>73293.279999999999</v>
      </c>
    </row>
    <row r="37" spans="1:9">
      <c r="A37" s="68" t="s">
        <v>341</v>
      </c>
      <c r="B37" s="123">
        <v>197640</v>
      </c>
      <c r="C37" s="124">
        <v>49410</v>
      </c>
      <c r="D37" s="123">
        <v>5581.5</v>
      </c>
      <c r="E37" s="125">
        <v>0.11296296296296296</v>
      </c>
      <c r="F37" s="124">
        <v>5581.5</v>
      </c>
      <c r="G37" s="123">
        <v>13576.404</v>
      </c>
      <c r="H37" s="126">
        <v>2.432393442622951</v>
      </c>
      <c r="I37" s="123">
        <v>178482.09599999999</v>
      </c>
    </row>
    <row r="38" spans="1:9">
      <c r="A38" s="68" t="s">
        <v>344</v>
      </c>
      <c r="B38" s="123">
        <v>18973.439999999999</v>
      </c>
      <c r="C38" s="124">
        <v>4743.3599999999997</v>
      </c>
      <c r="D38" s="123"/>
      <c r="E38" s="125">
        <v>0</v>
      </c>
      <c r="F38" s="124">
        <v>0</v>
      </c>
      <c r="G38" s="123"/>
      <c r="H38" s="126">
        <v>0</v>
      </c>
      <c r="I38" s="123">
        <v>18973.439999999999</v>
      </c>
    </row>
    <row r="39" spans="1:9">
      <c r="A39" s="68" t="s">
        <v>349</v>
      </c>
      <c r="B39" s="123">
        <v>18079.560000000001</v>
      </c>
      <c r="C39" s="124">
        <v>4519.8900000000003</v>
      </c>
      <c r="D39" s="123">
        <v>4519.8900000000003</v>
      </c>
      <c r="E39" s="125">
        <v>1</v>
      </c>
      <c r="F39" s="124">
        <v>4519.8900000000003</v>
      </c>
      <c r="G39" s="123">
        <v>4519.8900000000003</v>
      </c>
      <c r="H39" s="126">
        <v>1</v>
      </c>
      <c r="I39" s="123">
        <v>9039.7800000000025</v>
      </c>
    </row>
    <row r="40" spans="1:9">
      <c r="A40" s="68" t="s">
        <v>345</v>
      </c>
      <c r="B40" s="123">
        <v>43920</v>
      </c>
      <c r="C40" s="124">
        <v>10980</v>
      </c>
      <c r="D40" s="123"/>
      <c r="E40" s="125">
        <v>0</v>
      </c>
      <c r="F40" s="124">
        <v>0</v>
      </c>
      <c r="G40" s="123"/>
      <c r="H40" s="126">
        <v>0</v>
      </c>
      <c r="I40" s="123">
        <v>43920</v>
      </c>
    </row>
    <row r="41" spans="1:9">
      <c r="A41" s="68" t="s">
        <v>346</v>
      </c>
      <c r="B41" s="123">
        <v>386687</v>
      </c>
      <c r="C41" s="124">
        <v>96671.75</v>
      </c>
      <c r="D41" s="123">
        <v>96671.75</v>
      </c>
      <c r="E41" s="125">
        <v>1</v>
      </c>
      <c r="F41" s="124">
        <v>96671.75</v>
      </c>
      <c r="G41" s="123">
        <v>96671.75</v>
      </c>
      <c r="H41" s="126">
        <v>1</v>
      </c>
      <c r="I41" s="123">
        <v>193343.5</v>
      </c>
    </row>
    <row r="42" spans="1:9">
      <c r="A42" s="118" t="s">
        <v>340</v>
      </c>
      <c r="B42" s="119">
        <v>600920</v>
      </c>
      <c r="C42" s="120">
        <v>150230</v>
      </c>
      <c r="D42" s="119">
        <v>115445.8054</v>
      </c>
      <c r="E42" s="121">
        <v>0.76846039672502164</v>
      </c>
      <c r="F42" s="120">
        <v>115445.80539999998</v>
      </c>
      <c r="G42" s="119">
        <v>169837.94579999999</v>
      </c>
      <c r="H42" s="122">
        <v>1.4711486936362956</v>
      </c>
      <c r="I42" s="119">
        <v>315636.2488</v>
      </c>
    </row>
    <row r="43" spans="1:9">
      <c r="A43" s="68" t="s">
        <v>347</v>
      </c>
      <c r="B43" s="123">
        <v>120120</v>
      </c>
      <c r="C43" s="124">
        <v>30030</v>
      </c>
      <c r="D43" s="123"/>
      <c r="E43" s="125">
        <v>0</v>
      </c>
      <c r="F43" s="124">
        <v>0</v>
      </c>
      <c r="G43" s="123">
        <v>58085.444399999993</v>
      </c>
      <c r="H43" s="126">
        <v>0</v>
      </c>
      <c r="I43" s="123">
        <v>62034.555600000007</v>
      </c>
    </row>
    <row r="44" spans="1:9">
      <c r="A44" s="68" t="s">
        <v>341</v>
      </c>
      <c r="B44" s="123">
        <v>244390.39999999999</v>
      </c>
      <c r="C44" s="124">
        <v>61097.599999999999</v>
      </c>
      <c r="D44" s="123">
        <v>67323.405400000003</v>
      </c>
      <c r="E44" s="125">
        <v>1.1018993446551093</v>
      </c>
      <c r="F44" s="124">
        <v>67323.405399999989</v>
      </c>
      <c r="G44" s="123">
        <v>42565.58140000001</v>
      </c>
      <c r="H44" s="126">
        <v>0.63225532260434369</v>
      </c>
      <c r="I44" s="123">
        <v>134501.41319999995</v>
      </c>
    </row>
    <row r="45" spans="1:9">
      <c r="A45" s="68" t="s">
        <v>349</v>
      </c>
      <c r="B45" s="123">
        <v>14107.599999999999</v>
      </c>
      <c r="C45" s="124">
        <v>3526.8999999999996</v>
      </c>
      <c r="D45" s="123">
        <v>3526.8999999999996</v>
      </c>
      <c r="E45" s="125">
        <v>1</v>
      </c>
      <c r="F45" s="124">
        <v>3526.8999999999996</v>
      </c>
      <c r="G45" s="123">
        <v>3526.8999999999996</v>
      </c>
      <c r="H45" s="126">
        <v>1</v>
      </c>
      <c r="I45" s="123">
        <v>7053.7999999999993</v>
      </c>
    </row>
    <row r="46" spans="1:9">
      <c r="A46" s="68" t="s">
        <v>345</v>
      </c>
      <c r="B46" s="123">
        <v>43920</v>
      </c>
      <c r="C46" s="124">
        <v>10980</v>
      </c>
      <c r="D46" s="123"/>
      <c r="E46" s="125">
        <v>0</v>
      </c>
      <c r="F46" s="124">
        <v>0</v>
      </c>
      <c r="G46" s="123">
        <v>21064.52</v>
      </c>
      <c r="H46" s="126">
        <v>0</v>
      </c>
      <c r="I46" s="123">
        <v>22855.48</v>
      </c>
    </row>
    <row r="47" spans="1:9" ht="15.6" thickBot="1">
      <c r="A47" s="68" t="s">
        <v>346</v>
      </c>
      <c r="B47" s="123">
        <v>178382</v>
      </c>
      <c r="C47" s="127">
        <v>44595.5</v>
      </c>
      <c r="D47" s="128">
        <v>44595.5</v>
      </c>
      <c r="E47" s="129">
        <v>1</v>
      </c>
      <c r="F47" s="124">
        <v>44595.5</v>
      </c>
      <c r="G47" s="123">
        <v>44595.5</v>
      </c>
      <c r="H47" s="126">
        <v>1</v>
      </c>
      <c r="I47" s="123">
        <v>89191</v>
      </c>
    </row>
    <row r="48" spans="1:9" ht="15.6" thickBot="1">
      <c r="A48" s="130" t="s">
        <v>365</v>
      </c>
      <c r="B48" s="131">
        <v>3061519.9967999998</v>
      </c>
      <c r="C48" s="132">
        <v>765379.99919999996</v>
      </c>
      <c r="D48" s="132">
        <v>682578.45079999999</v>
      </c>
      <c r="E48" s="133">
        <v>0.89181641996583805</v>
      </c>
      <c r="F48" s="134">
        <v>682578.45079999999</v>
      </c>
      <c r="G48" s="135">
        <v>687291.13520000002</v>
      </c>
      <c r="H48" s="136">
        <v>1.0069042384717488</v>
      </c>
      <c r="I48" s="131">
        <v>1691650.4108</v>
      </c>
    </row>
  </sheetData>
  <conditionalFormatting sqref="E3:E48">
    <cfRule type="cellIs" dxfId="9" priority="2" operator="greaterThan">
      <formula>1</formula>
    </cfRule>
  </conditionalFormatting>
  <conditionalFormatting sqref="H3:H48">
    <cfRule type="cellIs" dxfId="8" priority="1" operator="greaterThan">
      <formula>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263DF-C9AA-E144-A1C0-5C5F1D37A725}">
  <dimension ref="A1:N83"/>
  <sheetViews>
    <sheetView tabSelected="1" zoomScale="80" zoomScaleNormal="80" workbookViewId="0">
      <pane xSplit="2" ySplit="3" topLeftCell="C4" activePane="bottomRight" state="frozen"/>
      <selection activeCell="B1" sqref="B1"/>
      <selection pane="topRight" activeCell="C1" sqref="C1"/>
      <selection pane="bottomLeft" activeCell="B4" sqref="B4"/>
      <selection pane="bottomRight" activeCell="H71" sqref="H71"/>
    </sheetView>
  </sheetViews>
  <sheetFormatPr defaultColWidth="10.81640625" defaultRowHeight="15.9" customHeight="1"/>
  <cols>
    <col min="1" max="1" width="3.6328125" style="1" hidden="1" customWidth="1"/>
    <col min="2" max="2" width="68.08984375" style="1" customWidth="1"/>
    <col min="3" max="3" width="14.1796875" style="106" customWidth="1"/>
    <col min="4" max="5" width="14.81640625" style="1" customWidth="1"/>
    <col min="6" max="7" width="14.81640625" style="1" hidden="1" customWidth="1"/>
    <col min="8" max="14" width="14.81640625" style="1" customWidth="1"/>
    <col min="15" max="16384" width="10.81640625" style="1"/>
  </cols>
  <sheetData>
    <row r="1" spans="1:14" ht="21">
      <c r="B1" s="102" t="s">
        <v>351</v>
      </c>
      <c r="C1" s="103"/>
      <c r="D1" s="145"/>
      <c r="E1" s="145"/>
      <c r="F1" s="145"/>
      <c r="G1" s="145"/>
      <c r="H1" s="145"/>
      <c r="I1" s="145"/>
      <c r="J1" s="145"/>
      <c r="K1" s="145"/>
      <c r="L1" s="145"/>
      <c r="M1" s="145"/>
    </row>
    <row r="2" spans="1:14" ht="24.9" customHeight="1">
      <c r="B2" s="53"/>
      <c r="C2" s="104"/>
      <c r="D2" s="76" t="s">
        <v>328</v>
      </c>
      <c r="E2" s="76" t="s">
        <v>328</v>
      </c>
      <c r="F2" s="76" t="s">
        <v>328</v>
      </c>
      <c r="G2" s="76" t="s">
        <v>328</v>
      </c>
      <c r="H2" s="77" t="s">
        <v>329</v>
      </c>
      <c r="I2" s="77" t="s">
        <v>329</v>
      </c>
      <c r="J2" s="77" t="s">
        <v>329</v>
      </c>
      <c r="K2" s="77" t="s">
        <v>329</v>
      </c>
      <c r="L2" s="77" t="s">
        <v>329</v>
      </c>
      <c r="M2" s="77" t="s">
        <v>329</v>
      </c>
      <c r="N2" s="77" t="s">
        <v>329</v>
      </c>
    </row>
    <row r="3" spans="1:14" s="81" customFormat="1" ht="42" customHeight="1">
      <c r="A3" s="86"/>
      <c r="B3" s="87" t="s">
        <v>350</v>
      </c>
      <c r="C3" s="105" t="s">
        <v>353</v>
      </c>
      <c r="D3" s="88" t="s">
        <v>324</v>
      </c>
      <c r="E3" s="88" t="s">
        <v>325</v>
      </c>
      <c r="F3" s="88" t="s">
        <v>326</v>
      </c>
      <c r="G3" s="88" t="s">
        <v>327</v>
      </c>
      <c r="H3" s="88" t="s">
        <v>322</v>
      </c>
      <c r="I3" s="88" t="s">
        <v>352</v>
      </c>
      <c r="J3" s="88" t="s">
        <v>354</v>
      </c>
      <c r="K3" s="88" t="s">
        <v>356</v>
      </c>
      <c r="L3" s="88" t="s">
        <v>323</v>
      </c>
      <c r="M3" s="88" t="s">
        <v>355</v>
      </c>
      <c r="N3" s="88" t="s">
        <v>357</v>
      </c>
    </row>
    <row r="4" spans="1:14" s="81" customFormat="1" ht="15.9" customHeight="1">
      <c r="A4" s="95"/>
      <c r="B4" s="99" t="s">
        <v>36</v>
      </c>
      <c r="C4" s="107">
        <f>SUM(D4:E4)</f>
        <v>29998.080000000002</v>
      </c>
      <c r="D4" s="96">
        <f>D5</f>
        <v>14999.04</v>
      </c>
      <c r="E4" s="96">
        <v>14999.04</v>
      </c>
      <c r="F4" s="96">
        <v>15475.2</v>
      </c>
      <c r="G4" s="96">
        <v>14999.04</v>
      </c>
      <c r="H4" s="96">
        <v>13005.12</v>
      </c>
      <c r="I4" s="96">
        <f>I5</f>
        <v>8999.42</v>
      </c>
      <c r="J4" s="96">
        <f>J5</f>
        <v>22004.54</v>
      </c>
      <c r="K4" s="96">
        <f>K5</f>
        <v>7993.5400000000009</v>
      </c>
      <c r="L4" s="97">
        <f t="shared" ref="L4:L35" si="0">IFERROR(H4/D4,0)</f>
        <v>0.86706349206349209</v>
      </c>
      <c r="M4" s="97">
        <f t="shared" ref="M4:M35" si="1">IFERROR(I4/E4,0)</f>
        <v>0.59999973331626555</v>
      </c>
      <c r="N4" s="97">
        <f t="shared" ref="N4:N14" si="2">J4/C4</f>
        <v>0.73353161268987876</v>
      </c>
    </row>
    <row r="5" spans="1:14" s="81" customFormat="1" ht="15.9" customHeight="1">
      <c r="B5" s="100" t="s">
        <v>54</v>
      </c>
      <c r="C5" s="110">
        <f>SUM(D5:E5)</f>
        <v>29998.080000000002</v>
      </c>
      <c r="D5" s="82">
        <v>14999.04</v>
      </c>
      <c r="E5" s="82">
        <v>14999.04</v>
      </c>
      <c r="F5" s="82">
        <v>14999.04</v>
      </c>
      <c r="G5" s="82">
        <v>14999.04</v>
      </c>
      <c r="H5" s="82">
        <v>13005.12</v>
      </c>
      <c r="I5" s="82">
        <v>8999.42</v>
      </c>
      <c r="J5" s="82">
        <f>SUM(H5:I5)</f>
        <v>22004.54</v>
      </c>
      <c r="K5" s="82">
        <f>C5-J5</f>
        <v>7993.5400000000009</v>
      </c>
      <c r="L5" s="83">
        <f t="shared" si="0"/>
        <v>0.86706349206349209</v>
      </c>
      <c r="M5" s="98">
        <f t="shared" si="1"/>
        <v>0.59999973331626555</v>
      </c>
      <c r="N5" s="98">
        <f t="shared" si="2"/>
        <v>0.73353161268987876</v>
      </c>
    </row>
    <row r="6" spans="1:14" s="81" customFormat="1" ht="15.9" customHeight="1">
      <c r="A6" s="95"/>
      <c r="B6" s="99" t="s">
        <v>37</v>
      </c>
      <c r="C6" s="107">
        <f t="shared" ref="C6:C67" si="3">SUM(D6:E6)</f>
        <v>359869.6</v>
      </c>
      <c r="D6" s="96">
        <f>SUM(D7:D11)</f>
        <v>179934.8</v>
      </c>
      <c r="E6" s="96">
        <f t="shared" ref="E6:H6" si="4">SUM(E7:E11)</f>
        <v>179934.8</v>
      </c>
      <c r="F6" s="96">
        <f t="shared" si="4"/>
        <v>133462</v>
      </c>
      <c r="G6" s="96">
        <f t="shared" si="4"/>
        <v>131378.79999999999</v>
      </c>
      <c r="H6" s="96">
        <f t="shared" si="4"/>
        <v>123290.51999999999</v>
      </c>
      <c r="I6" s="96">
        <f>SUM(I7:I11)</f>
        <v>235446.09</v>
      </c>
      <c r="J6" s="96">
        <f>SUM(J7:J11)</f>
        <v>358736.61</v>
      </c>
      <c r="K6" s="96">
        <f>SUM(K7:K11)</f>
        <v>1132.9900000000343</v>
      </c>
      <c r="L6" s="97">
        <f t="shared" si="0"/>
        <v>0.68519552637955528</v>
      </c>
      <c r="M6" s="97">
        <f t="shared" si="1"/>
        <v>1.3085078039378708</v>
      </c>
      <c r="N6" s="97">
        <f t="shared" si="2"/>
        <v>0.99685166515871304</v>
      </c>
    </row>
    <row r="7" spans="1:14" s="81" customFormat="1" ht="13.8">
      <c r="A7" s="81">
        <v>1</v>
      </c>
      <c r="B7" s="100" t="s">
        <v>38</v>
      </c>
      <c r="C7" s="137">
        <f t="shared" si="3"/>
        <v>35868</v>
      </c>
      <c r="D7" s="82">
        <v>17934</v>
      </c>
      <c r="E7" s="82">
        <v>17934</v>
      </c>
      <c r="F7" s="82">
        <v>0</v>
      </c>
      <c r="G7" s="82">
        <v>0</v>
      </c>
      <c r="H7" s="82">
        <v>33341.67</v>
      </c>
      <c r="I7" s="109">
        <v>338.55</v>
      </c>
      <c r="J7" s="109">
        <f>SUM(H7:I7)</f>
        <v>33680.22</v>
      </c>
      <c r="K7" s="82">
        <f t="shared" ref="K7:K11" si="5">C7-J7</f>
        <v>2187.7799999999988</v>
      </c>
      <c r="L7" s="83">
        <f t="shared" si="0"/>
        <v>1.8591318166610906</v>
      </c>
      <c r="M7" s="83">
        <f t="shared" si="1"/>
        <v>1.8877551020408164E-2</v>
      </c>
      <c r="N7" s="98">
        <f t="shared" si="2"/>
        <v>0.93900468384074942</v>
      </c>
    </row>
    <row r="8" spans="1:14" s="81" customFormat="1" ht="27.6">
      <c r="A8" s="81">
        <v>1</v>
      </c>
      <c r="B8" s="100" t="s">
        <v>61</v>
      </c>
      <c r="C8" s="138">
        <f t="shared" si="3"/>
        <v>48800.000000000007</v>
      </c>
      <c r="D8" s="82">
        <v>24400.000000000004</v>
      </c>
      <c r="E8" s="82">
        <v>24400.000000000004</v>
      </c>
      <c r="F8" s="82">
        <v>0</v>
      </c>
      <c r="G8" s="82">
        <v>0</v>
      </c>
      <c r="H8" s="82">
        <v>24109.87</v>
      </c>
      <c r="I8" s="109">
        <f>9390.7+5319.12</f>
        <v>14709.82</v>
      </c>
      <c r="J8" s="109">
        <f>SUM(H8:I8)</f>
        <v>38819.69</v>
      </c>
      <c r="K8" s="82">
        <f t="shared" si="5"/>
        <v>9980.3100000000049</v>
      </c>
      <c r="L8" s="83">
        <f t="shared" si="0"/>
        <v>0.98810942622950804</v>
      </c>
      <c r="M8" s="83">
        <f t="shared" si="1"/>
        <v>0.60286147540983592</v>
      </c>
      <c r="N8" s="98">
        <f t="shared" si="2"/>
        <v>0.79548545081967204</v>
      </c>
    </row>
    <row r="9" spans="1:14" s="81" customFormat="1" ht="27.6">
      <c r="A9" s="81">
        <v>1</v>
      </c>
      <c r="B9" s="100" t="s">
        <v>62</v>
      </c>
      <c r="C9" s="138">
        <f t="shared" si="3"/>
        <v>24400.000000000004</v>
      </c>
      <c r="D9" s="82">
        <v>12200.000000000002</v>
      </c>
      <c r="E9" s="82">
        <v>12200.000000000002</v>
      </c>
      <c r="F9" s="82">
        <v>0</v>
      </c>
      <c r="G9" s="82">
        <v>0</v>
      </c>
      <c r="H9" s="82">
        <v>0</v>
      </c>
      <c r="I9" s="109">
        <v>0</v>
      </c>
      <c r="J9" s="109">
        <f t="shared" ref="J9:J32" si="6">SUM(H9:I9)</f>
        <v>0</v>
      </c>
      <c r="K9" s="82">
        <f t="shared" si="5"/>
        <v>24400.000000000004</v>
      </c>
      <c r="L9" s="83">
        <f t="shared" si="0"/>
        <v>0</v>
      </c>
      <c r="M9" s="83">
        <f t="shared" si="1"/>
        <v>0</v>
      </c>
      <c r="N9" s="98">
        <f t="shared" si="2"/>
        <v>0</v>
      </c>
    </row>
    <row r="10" spans="1:14" s="81" customFormat="1" ht="13.8">
      <c r="A10" s="81">
        <v>1</v>
      </c>
      <c r="B10" s="100" t="s">
        <v>39</v>
      </c>
      <c r="C10" s="138">
        <f t="shared" si="3"/>
        <v>119560</v>
      </c>
      <c r="D10" s="82">
        <v>59780</v>
      </c>
      <c r="E10" s="82">
        <v>59780</v>
      </c>
      <c r="F10" s="82">
        <v>65758</v>
      </c>
      <c r="G10" s="82">
        <v>65758</v>
      </c>
      <c r="H10" s="82">
        <v>608.78</v>
      </c>
      <c r="I10" s="109">
        <f>101337.96+56251.28</f>
        <v>157589.24</v>
      </c>
      <c r="J10" s="109">
        <f t="shared" si="6"/>
        <v>158198.01999999999</v>
      </c>
      <c r="K10" s="82">
        <f>C10-J10</f>
        <v>-38638.01999999999</v>
      </c>
      <c r="L10" s="98">
        <f t="shared" si="0"/>
        <v>1.0183673469387755E-2</v>
      </c>
      <c r="M10" s="98">
        <f t="shared" si="1"/>
        <v>2.6361532285045164</v>
      </c>
      <c r="N10" s="98">
        <f t="shared" si="2"/>
        <v>1.3231684509869521</v>
      </c>
    </row>
    <row r="11" spans="1:14" s="81" customFormat="1" ht="15.9" customHeight="1">
      <c r="B11" s="100" t="s">
        <v>54</v>
      </c>
      <c r="C11" s="110">
        <f t="shared" si="3"/>
        <v>131241.60000000001</v>
      </c>
      <c r="D11" s="82">
        <v>65620.800000000003</v>
      </c>
      <c r="E11" s="82">
        <v>65620.800000000003</v>
      </c>
      <c r="F11" s="82">
        <v>67704</v>
      </c>
      <c r="G11" s="82">
        <v>65620.800000000003</v>
      </c>
      <c r="H11" s="82">
        <v>65230.2</v>
      </c>
      <c r="I11" s="109">
        <v>62808.480000000003</v>
      </c>
      <c r="J11" s="109">
        <f t="shared" si="6"/>
        <v>128038.68</v>
      </c>
      <c r="K11" s="82">
        <f t="shared" si="5"/>
        <v>3202.9200000000128</v>
      </c>
      <c r="L11" s="83">
        <f t="shared" si="0"/>
        <v>0.99404761904761896</v>
      </c>
      <c r="M11" s="83">
        <f t="shared" si="1"/>
        <v>0.95714285714285718</v>
      </c>
      <c r="N11" s="98">
        <f t="shared" si="2"/>
        <v>0.97559523809523796</v>
      </c>
    </row>
    <row r="12" spans="1:14" s="81" customFormat="1" ht="15.9" customHeight="1">
      <c r="A12" s="95"/>
      <c r="B12" s="99" t="s">
        <v>40</v>
      </c>
      <c r="C12" s="107">
        <f t="shared" si="3"/>
        <v>31872.959999999999</v>
      </c>
      <c r="D12" s="96">
        <f>D13</f>
        <v>15936.48</v>
      </c>
      <c r="E12" s="96">
        <f t="shared" ref="E12:H12" si="7">E13</f>
        <v>15936.48</v>
      </c>
      <c r="F12" s="96">
        <f t="shared" si="7"/>
        <v>16442.399999999998</v>
      </c>
      <c r="G12" s="96">
        <f t="shared" si="7"/>
        <v>15936.479999999998</v>
      </c>
      <c r="H12" s="96">
        <f t="shared" si="7"/>
        <v>15841.62</v>
      </c>
      <c r="I12" s="96">
        <f>I13</f>
        <v>15936.48</v>
      </c>
      <c r="J12" s="96">
        <f>J13</f>
        <v>31778.1</v>
      </c>
      <c r="K12" s="96">
        <f>K13</f>
        <v>94.860000000000582</v>
      </c>
      <c r="L12" s="97">
        <f t="shared" si="0"/>
        <v>0.99404761904761918</v>
      </c>
      <c r="M12" s="97">
        <f t="shared" si="1"/>
        <v>1</v>
      </c>
      <c r="N12" s="97">
        <f t="shared" si="2"/>
        <v>0.99702380952380953</v>
      </c>
    </row>
    <row r="13" spans="1:14" s="81" customFormat="1" ht="15.9" customHeight="1">
      <c r="B13" s="100" t="s">
        <v>54</v>
      </c>
      <c r="C13" s="108">
        <f t="shared" si="3"/>
        <v>31872.959999999999</v>
      </c>
      <c r="D13" s="82">
        <v>15936.48</v>
      </c>
      <c r="E13" s="82">
        <v>15936.48</v>
      </c>
      <c r="F13" s="82">
        <v>16442.399999999998</v>
      </c>
      <c r="G13" s="82">
        <v>15936.479999999998</v>
      </c>
      <c r="H13" s="82">
        <v>15841.62</v>
      </c>
      <c r="I13" s="82">
        <v>15936.48</v>
      </c>
      <c r="J13" s="109">
        <f t="shared" si="6"/>
        <v>31778.1</v>
      </c>
      <c r="K13" s="82">
        <f>C13-J13</f>
        <v>94.860000000000582</v>
      </c>
      <c r="L13" s="83">
        <f t="shared" si="0"/>
        <v>0.99404761904761918</v>
      </c>
      <c r="M13" s="83">
        <f t="shared" si="1"/>
        <v>1</v>
      </c>
      <c r="N13" s="98">
        <f t="shared" si="2"/>
        <v>0.99702380952380953</v>
      </c>
    </row>
    <row r="14" spans="1:14" s="81" customFormat="1" ht="15.9" customHeight="1">
      <c r="A14" s="95"/>
      <c r="B14" s="99" t="s">
        <v>41</v>
      </c>
      <c r="C14" s="107">
        <f t="shared" si="3"/>
        <v>56246.399999999994</v>
      </c>
      <c r="D14" s="96">
        <f>D15</f>
        <v>28123.200000000001</v>
      </c>
      <c r="E14" s="96">
        <f t="shared" ref="E14:H14" si="8">E15</f>
        <v>28123.199999999997</v>
      </c>
      <c r="F14" s="96">
        <f t="shared" si="8"/>
        <v>29016</v>
      </c>
      <c r="G14" s="96">
        <f t="shared" si="8"/>
        <v>28123.199999999997</v>
      </c>
      <c r="H14" s="96">
        <f t="shared" si="8"/>
        <v>27955.800000000003</v>
      </c>
      <c r="I14" s="96">
        <f>I15</f>
        <v>28123.200000000001</v>
      </c>
      <c r="J14" s="96">
        <f>J15</f>
        <v>56079</v>
      </c>
      <c r="K14" s="96">
        <f>K15</f>
        <v>167.39999999999418</v>
      </c>
      <c r="L14" s="97">
        <f t="shared" si="0"/>
        <v>0.99404761904761918</v>
      </c>
      <c r="M14" s="97">
        <f t="shared" si="1"/>
        <v>1.0000000000000002</v>
      </c>
      <c r="N14" s="97">
        <f t="shared" si="2"/>
        <v>0.99702380952380965</v>
      </c>
    </row>
    <row r="15" spans="1:14" s="81" customFormat="1" ht="15.9" customHeight="1">
      <c r="B15" s="100" t="s">
        <v>54</v>
      </c>
      <c r="C15" s="108">
        <f t="shared" si="3"/>
        <v>56246.399999999994</v>
      </c>
      <c r="D15" s="82">
        <v>28123.200000000001</v>
      </c>
      <c r="E15" s="82">
        <v>28123.199999999997</v>
      </c>
      <c r="F15" s="82">
        <v>29016</v>
      </c>
      <c r="G15" s="82">
        <v>28123.199999999997</v>
      </c>
      <c r="H15" s="82">
        <v>27955.800000000003</v>
      </c>
      <c r="I15" s="82">
        <v>28123.200000000001</v>
      </c>
      <c r="J15" s="109">
        <f t="shared" si="6"/>
        <v>56079</v>
      </c>
      <c r="K15" s="82">
        <f>C15-J15</f>
        <v>167.39999999999418</v>
      </c>
      <c r="L15" s="98">
        <f t="shared" si="0"/>
        <v>0.99404761904761918</v>
      </c>
      <c r="M15" s="98">
        <f t="shared" si="1"/>
        <v>1.0000000000000002</v>
      </c>
      <c r="N15" s="98">
        <f t="shared" ref="N15:N17" si="9">J15/C15</f>
        <v>0.99702380952380965</v>
      </c>
    </row>
    <row r="16" spans="1:14" s="81" customFormat="1" ht="15.9" customHeight="1">
      <c r="A16" s="95"/>
      <c r="B16" s="99" t="s">
        <v>42</v>
      </c>
      <c r="C16" s="107">
        <f t="shared" si="3"/>
        <v>22498.559999999998</v>
      </c>
      <c r="D16" s="96">
        <f>D17</f>
        <v>11249.279999999999</v>
      </c>
      <c r="E16" s="96">
        <v>11249.279999999999</v>
      </c>
      <c r="F16" s="96">
        <v>11606.400000000001</v>
      </c>
      <c r="G16" s="96">
        <v>11249.28</v>
      </c>
      <c r="H16" s="96">
        <f>H17</f>
        <v>11182.32</v>
      </c>
      <c r="I16" s="96">
        <f>I17</f>
        <v>10817.76</v>
      </c>
      <c r="J16" s="96">
        <f>J17</f>
        <v>22000.080000000002</v>
      </c>
      <c r="K16" s="96">
        <f>K17</f>
        <v>498.47999999999593</v>
      </c>
      <c r="L16" s="97">
        <f t="shared" si="0"/>
        <v>0.99404761904761918</v>
      </c>
      <c r="M16" s="97">
        <f t="shared" si="1"/>
        <v>0.96164021164021174</v>
      </c>
      <c r="N16" s="97">
        <f>J16/C16</f>
        <v>0.97784391534391557</v>
      </c>
    </row>
    <row r="17" spans="1:14" s="81" customFormat="1" ht="15.9" customHeight="1">
      <c r="B17" s="100" t="s">
        <v>54</v>
      </c>
      <c r="C17" s="108">
        <f t="shared" si="3"/>
        <v>22498.559999999998</v>
      </c>
      <c r="D17" s="82">
        <v>11249.279999999999</v>
      </c>
      <c r="E17" s="82">
        <v>11249.279999999999</v>
      </c>
      <c r="F17" s="82">
        <v>11249.279999999999</v>
      </c>
      <c r="G17" s="82">
        <v>11249.279999999999</v>
      </c>
      <c r="H17" s="82">
        <v>11182.32</v>
      </c>
      <c r="I17" s="82">
        <v>10817.76</v>
      </c>
      <c r="J17" s="109">
        <f t="shared" si="6"/>
        <v>22000.080000000002</v>
      </c>
      <c r="K17" s="82">
        <f>C17-J17</f>
        <v>498.47999999999593</v>
      </c>
      <c r="L17" s="83">
        <f t="shared" si="0"/>
        <v>0.99404761904761918</v>
      </c>
      <c r="M17" s="83">
        <f t="shared" si="1"/>
        <v>0.96164021164021174</v>
      </c>
      <c r="N17" s="98">
        <f t="shared" si="9"/>
        <v>0.97784391534391557</v>
      </c>
    </row>
    <row r="18" spans="1:14" s="81" customFormat="1" ht="15.9" customHeight="1">
      <c r="A18" s="95"/>
      <c r="B18" s="99" t="s">
        <v>43</v>
      </c>
      <c r="C18" s="107">
        <f t="shared" si="3"/>
        <v>0</v>
      </c>
      <c r="D18" s="96">
        <f>D19</f>
        <v>0</v>
      </c>
      <c r="E18" s="96">
        <f t="shared" ref="E18:K18" si="10">E19</f>
        <v>0</v>
      </c>
      <c r="F18" s="96">
        <f t="shared" si="10"/>
        <v>0</v>
      </c>
      <c r="G18" s="96">
        <f t="shared" si="10"/>
        <v>0</v>
      </c>
      <c r="H18" s="96">
        <f t="shared" si="10"/>
        <v>0</v>
      </c>
      <c r="I18" s="96">
        <f t="shared" si="10"/>
        <v>0</v>
      </c>
      <c r="J18" s="96">
        <f t="shared" si="10"/>
        <v>0</v>
      </c>
      <c r="K18" s="96">
        <f t="shared" si="10"/>
        <v>0</v>
      </c>
      <c r="L18" s="97">
        <f t="shared" si="0"/>
        <v>0</v>
      </c>
      <c r="M18" s="97">
        <f t="shared" si="1"/>
        <v>0</v>
      </c>
      <c r="N18" s="97">
        <f>IFERROR(J18/F18,0)</f>
        <v>0</v>
      </c>
    </row>
    <row r="19" spans="1:14" s="81" customFormat="1" ht="32.1" customHeight="1">
      <c r="A19" s="81">
        <v>1</v>
      </c>
      <c r="B19" s="100" t="s">
        <v>35</v>
      </c>
      <c r="C19" s="108">
        <f t="shared" si="3"/>
        <v>0</v>
      </c>
      <c r="D19" s="82">
        <v>0</v>
      </c>
      <c r="E19" s="82">
        <v>0</v>
      </c>
      <c r="F19" s="82">
        <v>0</v>
      </c>
      <c r="G19" s="82">
        <v>0</v>
      </c>
      <c r="H19" s="82">
        <v>0</v>
      </c>
      <c r="I19" s="82">
        <v>0</v>
      </c>
      <c r="J19" s="109">
        <f t="shared" si="6"/>
        <v>0</v>
      </c>
      <c r="K19" s="82">
        <f>C19-J19</f>
        <v>0</v>
      </c>
      <c r="L19" s="98">
        <f t="shared" si="0"/>
        <v>0</v>
      </c>
      <c r="M19" s="98">
        <f t="shared" si="1"/>
        <v>0</v>
      </c>
      <c r="N19" s="98">
        <v>0</v>
      </c>
    </row>
    <row r="20" spans="1:14" s="81" customFormat="1" ht="15.9" customHeight="1">
      <c r="A20" s="95"/>
      <c r="B20" s="99" t="s">
        <v>44</v>
      </c>
      <c r="C20" s="107">
        <f t="shared" si="3"/>
        <v>41529.599999999999</v>
      </c>
      <c r="D20" s="96">
        <f>SUM(D21:D23)</f>
        <v>20764.8</v>
      </c>
      <c r="E20" s="96">
        <f t="shared" ref="E20:H20" si="11">SUM(E21:E23)</f>
        <v>20764.8</v>
      </c>
      <c r="F20" s="96">
        <f t="shared" si="11"/>
        <v>21424</v>
      </c>
      <c r="G20" s="96">
        <f t="shared" si="11"/>
        <v>20764.8</v>
      </c>
      <c r="H20" s="96">
        <f t="shared" si="11"/>
        <v>20641.2</v>
      </c>
      <c r="I20" s="96">
        <f>SUM(I21:I23)</f>
        <v>20764.8</v>
      </c>
      <c r="J20" s="96">
        <f>SUM(J21:J23)</f>
        <v>41406</v>
      </c>
      <c r="K20" s="96">
        <f>SUM(K21:K23)</f>
        <v>123.59999999999854</v>
      </c>
      <c r="L20" s="97">
        <f t="shared" si="0"/>
        <v>0.99404761904761907</v>
      </c>
      <c r="M20" s="97">
        <f t="shared" si="1"/>
        <v>1</v>
      </c>
      <c r="N20" s="97">
        <f>J20/C20</f>
        <v>0.99702380952380953</v>
      </c>
    </row>
    <row r="21" spans="1:14" s="81" customFormat="1" ht="32.1" customHeight="1">
      <c r="A21" s="81">
        <v>1</v>
      </c>
      <c r="B21" s="100" t="s">
        <v>32</v>
      </c>
      <c r="C21" s="139">
        <f t="shared" si="3"/>
        <v>0</v>
      </c>
      <c r="D21" s="82">
        <v>0</v>
      </c>
      <c r="E21" s="82">
        <v>0</v>
      </c>
      <c r="F21" s="82">
        <v>0</v>
      </c>
      <c r="G21" s="82">
        <v>0</v>
      </c>
      <c r="H21" s="82">
        <v>0</v>
      </c>
      <c r="I21" s="82">
        <v>0</v>
      </c>
      <c r="J21" s="109">
        <f t="shared" si="6"/>
        <v>0</v>
      </c>
      <c r="K21" s="82">
        <f t="shared" ref="K21:K23" si="12">C21-J21</f>
        <v>0</v>
      </c>
      <c r="L21" s="83">
        <f t="shared" si="0"/>
        <v>0</v>
      </c>
      <c r="M21" s="83">
        <f t="shared" si="1"/>
        <v>0</v>
      </c>
      <c r="N21" s="98">
        <v>0</v>
      </c>
    </row>
    <row r="22" spans="1:14" s="81" customFormat="1" ht="27.6">
      <c r="A22" s="81">
        <v>1</v>
      </c>
      <c r="B22" s="100" t="s">
        <v>33</v>
      </c>
      <c r="C22" s="140">
        <f t="shared" si="3"/>
        <v>0</v>
      </c>
      <c r="D22" s="82">
        <v>0</v>
      </c>
      <c r="E22" s="82">
        <v>0</v>
      </c>
      <c r="F22" s="82">
        <v>0</v>
      </c>
      <c r="G22" s="82">
        <v>0</v>
      </c>
      <c r="H22" s="82">
        <v>0</v>
      </c>
      <c r="I22" s="82">
        <v>0</v>
      </c>
      <c r="J22" s="109">
        <f t="shared" si="6"/>
        <v>0</v>
      </c>
      <c r="K22" s="82">
        <f t="shared" si="12"/>
        <v>0</v>
      </c>
      <c r="L22" s="83">
        <f t="shared" si="0"/>
        <v>0</v>
      </c>
      <c r="M22" s="83">
        <f t="shared" si="1"/>
        <v>0</v>
      </c>
      <c r="N22" s="98">
        <v>0</v>
      </c>
    </row>
    <row r="23" spans="1:14" s="81" customFormat="1" ht="15.9" customHeight="1">
      <c r="B23" s="100" t="s">
        <v>54</v>
      </c>
      <c r="C23" s="108">
        <f t="shared" si="3"/>
        <v>41529.599999999999</v>
      </c>
      <c r="D23" s="82">
        <v>20764.8</v>
      </c>
      <c r="E23" s="82">
        <v>20764.8</v>
      </c>
      <c r="F23" s="82">
        <v>21424</v>
      </c>
      <c r="G23" s="82">
        <v>20764.8</v>
      </c>
      <c r="H23" s="82">
        <v>20641.2</v>
      </c>
      <c r="I23" s="82">
        <v>20764.8</v>
      </c>
      <c r="J23" s="109">
        <f t="shared" si="6"/>
        <v>41406</v>
      </c>
      <c r="K23" s="82">
        <f t="shared" si="12"/>
        <v>123.59999999999854</v>
      </c>
      <c r="L23" s="83">
        <f t="shared" si="0"/>
        <v>0.99404761904761907</v>
      </c>
      <c r="M23" s="83">
        <f t="shared" si="1"/>
        <v>1</v>
      </c>
      <c r="N23" s="98">
        <f>J23/C23</f>
        <v>0.99702380952380953</v>
      </c>
    </row>
    <row r="24" spans="1:14" s="81" customFormat="1" ht="15.9" customHeight="1">
      <c r="A24" s="95"/>
      <c r="B24" s="99" t="s">
        <v>45</v>
      </c>
      <c r="C24" s="107">
        <f t="shared" si="3"/>
        <v>89514.432000000001</v>
      </c>
      <c r="D24" s="96">
        <f>SUM(D25:D26)</f>
        <v>33235.775999999998</v>
      </c>
      <c r="E24" s="96">
        <f t="shared" ref="E24:H24" si="13">SUM(E25:E26)</f>
        <v>56278.656000000003</v>
      </c>
      <c r="F24" s="96">
        <f t="shared" si="13"/>
        <v>102900.28</v>
      </c>
      <c r="G24" s="96">
        <f t="shared" si="13"/>
        <v>101113.656</v>
      </c>
      <c r="H24" s="96">
        <f t="shared" si="13"/>
        <v>33037.94</v>
      </c>
      <c r="I24" s="96">
        <f>SUM(I25:I26)</f>
        <v>-33037.94</v>
      </c>
      <c r="J24" s="96">
        <f>SUM(J25:J26)</f>
        <v>0</v>
      </c>
      <c r="K24" s="96">
        <f>SUM(K25:K26)</f>
        <v>89514.432000000001</v>
      </c>
      <c r="L24" s="97">
        <f t="shared" si="0"/>
        <v>0.99404749869538189</v>
      </c>
      <c r="M24" s="97">
        <f t="shared" si="1"/>
        <v>-0.58704209283178332</v>
      </c>
      <c r="N24" s="97">
        <f>J24/C24</f>
        <v>0</v>
      </c>
    </row>
    <row r="25" spans="1:14" s="81" customFormat="1" ht="13.8">
      <c r="A25" s="81">
        <v>1</v>
      </c>
      <c r="B25" s="100" t="s">
        <v>23</v>
      </c>
      <c r="C25" s="139">
        <f t="shared" si="3"/>
        <v>0</v>
      </c>
      <c r="D25" s="82">
        <v>0</v>
      </c>
      <c r="E25" s="82">
        <v>0</v>
      </c>
      <c r="F25" s="82">
        <v>44835</v>
      </c>
      <c r="G25" s="82">
        <v>44835</v>
      </c>
      <c r="H25" s="82">
        <v>0</v>
      </c>
      <c r="I25" s="82">
        <v>0</v>
      </c>
      <c r="J25" s="109">
        <f t="shared" si="6"/>
        <v>0</v>
      </c>
      <c r="K25" s="82">
        <f t="shared" ref="K25:K26" si="14">C25-J25</f>
        <v>0</v>
      </c>
      <c r="L25" s="83">
        <f t="shared" si="0"/>
        <v>0</v>
      </c>
      <c r="M25" s="83">
        <f t="shared" si="1"/>
        <v>0</v>
      </c>
      <c r="N25" s="98">
        <v>0</v>
      </c>
    </row>
    <row r="26" spans="1:14" s="81" customFormat="1" ht="33" customHeight="1">
      <c r="B26" s="100" t="s">
        <v>54</v>
      </c>
      <c r="C26" s="108">
        <f t="shared" si="3"/>
        <v>89514.432000000001</v>
      </c>
      <c r="D26" s="82">
        <v>33235.775999999998</v>
      </c>
      <c r="E26" s="82">
        <v>56278.656000000003</v>
      </c>
      <c r="F26" s="82">
        <v>58065.279999999999</v>
      </c>
      <c r="G26" s="82">
        <v>56278.656000000003</v>
      </c>
      <c r="H26" s="82">
        <v>33037.94</v>
      </c>
      <c r="I26" s="82">
        <f>-H26</f>
        <v>-33037.94</v>
      </c>
      <c r="J26" s="109">
        <f t="shared" si="6"/>
        <v>0</v>
      </c>
      <c r="K26" s="82">
        <f t="shared" si="14"/>
        <v>89514.432000000001</v>
      </c>
      <c r="L26" s="98">
        <f t="shared" si="0"/>
        <v>0.99404749869538189</v>
      </c>
      <c r="M26" s="98">
        <f t="shared" si="1"/>
        <v>-0.58704209283178332</v>
      </c>
      <c r="N26" s="98">
        <f t="shared" ref="N26:N31" si="15">J26/C26</f>
        <v>0</v>
      </c>
    </row>
    <row r="27" spans="1:14" s="81" customFormat="1" ht="15.9" customHeight="1">
      <c r="A27" s="95"/>
      <c r="B27" s="99" t="s">
        <v>46</v>
      </c>
      <c r="C27" s="107">
        <f t="shared" si="3"/>
        <v>73402.559999999998</v>
      </c>
      <c r="D27" s="96">
        <f>D28</f>
        <v>36701.279999999999</v>
      </c>
      <c r="E27" s="96">
        <f t="shared" ref="E27:H27" si="16">E28</f>
        <v>36701.279999999999</v>
      </c>
      <c r="F27" s="96">
        <f t="shared" si="16"/>
        <v>37866.399999999994</v>
      </c>
      <c r="G27" s="96">
        <f t="shared" si="16"/>
        <v>36701.279999999999</v>
      </c>
      <c r="H27" s="96">
        <f t="shared" si="16"/>
        <v>36350.910000000003</v>
      </c>
      <c r="I27" s="96">
        <f>I28</f>
        <v>36701.279999999999</v>
      </c>
      <c r="J27" s="96">
        <f>J28</f>
        <v>73052.19</v>
      </c>
      <c r="K27" s="96">
        <f>K28</f>
        <v>350.36999999999534</v>
      </c>
      <c r="L27" s="97">
        <f t="shared" si="0"/>
        <v>0.99045346647310406</v>
      </c>
      <c r="M27" s="97">
        <f t="shared" si="1"/>
        <v>1</v>
      </c>
      <c r="N27" s="97">
        <f t="shared" si="15"/>
        <v>0.99522673323655209</v>
      </c>
    </row>
    <row r="28" spans="1:14" s="81" customFormat="1" ht="15.9" customHeight="1">
      <c r="B28" s="100" t="s">
        <v>54</v>
      </c>
      <c r="C28" s="108">
        <f t="shared" si="3"/>
        <v>73402.559999999998</v>
      </c>
      <c r="D28" s="82">
        <v>36701.279999999999</v>
      </c>
      <c r="E28" s="82">
        <v>36701.279999999999</v>
      </c>
      <c r="F28" s="82">
        <v>37866.399999999994</v>
      </c>
      <c r="G28" s="82">
        <v>36701.279999999999</v>
      </c>
      <c r="H28" s="82">
        <v>36350.910000000003</v>
      </c>
      <c r="I28" s="82">
        <v>36701.279999999999</v>
      </c>
      <c r="J28" s="109">
        <f t="shared" si="6"/>
        <v>73052.19</v>
      </c>
      <c r="K28" s="82">
        <f>C28-J28</f>
        <v>350.36999999999534</v>
      </c>
      <c r="L28" s="83">
        <f t="shared" si="0"/>
        <v>0.99045346647310406</v>
      </c>
      <c r="M28" s="83">
        <f t="shared" si="1"/>
        <v>1</v>
      </c>
      <c r="N28" s="98">
        <f t="shared" si="15"/>
        <v>0.99522673323655209</v>
      </c>
    </row>
    <row r="29" spans="1:14" s="81" customFormat="1" ht="13.8">
      <c r="A29" s="95"/>
      <c r="B29" s="99" t="s">
        <v>47</v>
      </c>
      <c r="C29" s="107">
        <f t="shared" si="3"/>
        <v>814158.24</v>
      </c>
      <c r="D29" s="96">
        <f>SUM(D30:D33)</f>
        <v>385875.83999999997</v>
      </c>
      <c r="E29" s="96">
        <f t="shared" ref="E29:H29" si="17">SUM(E30:E33)</f>
        <v>428282.4</v>
      </c>
      <c r="F29" s="96">
        <f t="shared" si="17"/>
        <v>382463.99999999994</v>
      </c>
      <c r="G29" s="96">
        <f t="shared" si="17"/>
        <v>379892.79999999993</v>
      </c>
      <c r="H29" s="96">
        <f t="shared" si="17"/>
        <v>441642.38</v>
      </c>
      <c r="I29" s="96">
        <f>SUM(I30:I33)</f>
        <v>431879.22000000003</v>
      </c>
      <c r="J29" s="96">
        <f>SUM(J30:J33)</f>
        <v>873521.6</v>
      </c>
      <c r="K29" s="141">
        <f>SUM(K30:K33)</f>
        <v>-59363.35999999995</v>
      </c>
      <c r="L29" s="97">
        <f t="shared" si="0"/>
        <v>1.1445193873760018</v>
      </c>
      <c r="M29" s="97">
        <f t="shared" si="1"/>
        <v>1.0083982437756023</v>
      </c>
      <c r="N29" s="97">
        <f t="shared" si="15"/>
        <v>1.0729137863912057</v>
      </c>
    </row>
    <row r="30" spans="1:14" s="81" customFormat="1" ht="13.8">
      <c r="A30" s="81">
        <v>1</v>
      </c>
      <c r="B30" s="100" t="s">
        <v>8</v>
      </c>
      <c r="C30" s="139">
        <f t="shared" si="3"/>
        <v>358680</v>
      </c>
      <c r="D30" s="82">
        <v>179340</v>
      </c>
      <c r="E30" s="82">
        <v>179340</v>
      </c>
      <c r="F30" s="82">
        <v>119559.99999999999</v>
      </c>
      <c r="G30" s="82">
        <v>119559.99999999999</v>
      </c>
      <c r="H30" s="82">
        <v>100604.8</v>
      </c>
      <c r="I30" s="109">
        <f>108436.96+19760.5</f>
        <v>128197.46</v>
      </c>
      <c r="J30" s="109">
        <f>SUM(H30:I30)</f>
        <v>228802.26</v>
      </c>
      <c r="K30" s="82">
        <f t="shared" ref="K30:K33" si="18">C30-J30</f>
        <v>129877.73999999999</v>
      </c>
      <c r="L30" s="83">
        <f t="shared" si="0"/>
        <v>0.56097245455559275</v>
      </c>
      <c r="M30" s="83">
        <f t="shared" si="1"/>
        <v>0.71482915133266423</v>
      </c>
      <c r="N30" s="98">
        <f t="shared" si="15"/>
        <v>0.63790080294412854</v>
      </c>
    </row>
    <row r="31" spans="1:14" s="81" customFormat="1" ht="13.8">
      <c r="A31" s="81">
        <v>1</v>
      </c>
      <c r="B31" s="100" t="s">
        <v>9</v>
      </c>
      <c r="C31" s="140">
        <f t="shared" si="3"/>
        <v>358680</v>
      </c>
      <c r="D31" s="82">
        <v>179340</v>
      </c>
      <c r="E31" s="82">
        <v>179340</v>
      </c>
      <c r="F31" s="82">
        <v>59779.999999999993</v>
      </c>
      <c r="G31" s="82">
        <v>59779.999999999993</v>
      </c>
      <c r="H31" s="82">
        <v>314003.62</v>
      </c>
      <c r="I31" s="109">
        <f>197882.21+68352.35</f>
        <v>266234.56</v>
      </c>
      <c r="J31" s="109">
        <f>SUM(H31:I31)</f>
        <v>580238.17999999993</v>
      </c>
      <c r="K31" s="82">
        <f t="shared" si="18"/>
        <v>-221558.17999999993</v>
      </c>
      <c r="L31" s="83">
        <f t="shared" si="0"/>
        <v>1.7508844652615143</v>
      </c>
      <c r="M31" s="83">
        <f t="shared" si="1"/>
        <v>1.484524144083863</v>
      </c>
      <c r="N31" s="98">
        <f t="shared" si="15"/>
        <v>1.6177043046726887</v>
      </c>
    </row>
    <row r="32" spans="1:14" s="81" customFormat="1" ht="13.8">
      <c r="A32" s="81">
        <v>1</v>
      </c>
      <c r="B32" s="100" t="s">
        <v>6</v>
      </c>
      <c r="C32" s="140">
        <f t="shared" si="3"/>
        <v>0</v>
      </c>
      <c r="D32" s="82">
        <v>0</v>
      </c>
      <c r="E32" s="82">
        <v>0</v>
      </c>
      <c r="F32" s="82">
        <v>119559.99999999999</v>
      </c>
      <c r="G32" s="82">
        <v>119559.99999999999</v>
      </c>
      <c r="H32" s="82">
        <v>0</v>
      </c>
      <c r="I32" s="82">
        <v>0</v>
      </c>
      <c r="J32" s="109">
        <f t="shared" si="6"/>
        <v>0</v>
      </c>
      <c r="K32" s="82">
        <f t="shared" si="18"/>
        <v>0</v>
      </c>
      <c r="L32" s="98">
        <f t="shared" si="0"/>
        <v>0</v>
      </c>
      <c r="M32" s="98">
        <f t="shared" si="1"/>
        <v>0</v>
      </c>
      <c r="N32" s="98">
        <v>0</v>
      </c>
    </row>
    <row r="33" spans="1:14" s="81" customFormat="1" ht="15.9" customHeight="1">
      <c r="B33" s="100" t="s">
        <v>54</v>
      </c>
      <c r="C33" s="108">
        <f t="shared" si="3"/>
        <v>96798.239999999991</v>
      </c>
      <c r="D33" s="82">
        <v>27195.839999999997</v>
      </c>
      <c r="E33" s="82">
        <v>69602.399999999994</v>
      </c>
      <c r="F33" s="82">
        <v>83564</v>
      </c>
      <c r="G33" s="82">
        <v>80992.799999999988</v>
      </c>
      <c r="H33" s="82">
        <v>27033.96</v>
      </c>
      <c r="I33" s="82">
        <v>37447.199999999997</v>
      </c>
      <c r="J33" s="109">
        <f>SUM(H33:I33)</f>
        <v>64481.159999999996</v>
      </c>
      <c r="K33" s="82">
        <f t="shared" si="18"/>
        <v>32317.079999999994</v>
      </c>
      <c r="L33" s="83">
        <f t="shared" si="0"/>
        <v>0.99404761904761918</v>
      </c>
      <c r="M33" s="83">
        <f t="shared" si="1"/>
        <v>0.53801593048515572</v>
      </c>
      <c r="N33" s="98">
        <f>J33/C33</f>
        <v>0.6661397975830966</v>
      </c>
    </row>
    <row r="34" spans="1:14" s="81" customFormat="1" ht="15.9" customHeight="1">
      <c r="A34" s="95"/>
      <c r="B34" s="99" t="s">
        <v>48</v>
      </c>
      <c r="C34" s="107">
        <f t="shared" si="3"/>
        <v>188714.4</v>
      </c>
      <c r="D34" s="96">
        <f>SUM(D35:D37)</f>
        <v>89670</v>
      </c>
      <c r="E34" s="96">
        <f t="shared" ref="E34:K34" si="19">SUM(E35:E37)</f>
        <v>99044.4</v>
      </c>
      <c r="F34" s="96">
        <f t="shared" si="19"/>
        <v>168793.99999999997</v>
      </c>
      <c r="G34" s="96">
        <f t="shared" si="19"/>
        <v>168198.79999999996</v>
      </c>
      <c r="H34" s="96">
        <f t="shared" si="19"/>
        <v>0</v>
      </c>
      <c r="I34" s="96">
        <f t="shared" si="19"/>
        <v>0</v>
      </c>
      <c r="J34" s="96">
        <f t="shared" si="19"/>
        <v>0</v>
      </c>
      <c r="K34" s="96">
        <f t="shared" si="19"/>
        <v>188714.4</v>
      </c>
      <c r="L34" s="97">
        <f t="shared" si="0"/>
        <v>0</v>
      </c>
      <c r="M34" s="97">
        <f t="shared" si="1"/>
        <v>0</v>
      </c>
      <c r="N34" s="97">
        <f>J34/C34</f>
        <v>0</v>
      </c>
    </row>
    <row r="35" spans="1:14" s="81" customFormat="1" ht="13.8">
      <c r="A35" s="81">
        <v>1</v>
      </c>
      <c r="B35" s="100" t="s">
        <v>7</v>
      </c>
      <c r="C35" s="139">
        <f t="shared" si="3"/>
        <v>179340</v>
      </c>
      <c r="D35" s="82">
        <v>89670</v>
      </c>
      <c r="E35" s="82">
        <v>89670</v>
      </c>
      <c r="F35" s="82">
        <v>149449.99999999997</v>
      </c>
      <c r="G35" s="82">
        <v>149449.99999999997</v>
      </c>
      <c r="H35" s="82">
        <v>0</v>
      </c>
      <c r="I35" s="82">
        <v>0</v>
      </c>
      <c r="J35" s="109">
        <f>SUM(H35:I35)</f>
        <v>0</v>
      </c>
      <c r="K35" s="82">
        <f t="shared" ref="K35:K37" si="20">C35-J35</f>
        <v>179340</v>
      </c>
      <c r="L35" s="83">
        <f t="shared" si="0"/>
        <v>0</v>
      </c>
      <c r="M35" s="83">
        <f t="shared" si="1"/>
        <v>0</v>
      </c>
      <c r="N35" s="98">
        <f>J35/C35</f>
        <v>0</v>
      </c>
    </row>
    <row r="36" spans="1:14" s="81" customFormat="1" ht="13.8">
      <c r="A36" s="81">
        <v>1</v>
      </c>
      <c r="B36" s="100" t="s">
        <v>34</v>
      </c>
      <c r="C36" s="140">
        <f t="shared" si="3"/>
        <v>0</v>
      </c>
      <c r="D36" s="82">
        <v>0</v>
      </c>
      <c r="E36" s="82">
        <v>0</v>
      </c>
      <c r="F36" s="82">
        <v>0</v>
      </c>
      <c r="G36" s="82">
        <v>0</v>
      </c>
      <c r="H36" s="82">
        <v>0</v>
      </c>
      <c r="I36" s="82">
        <v>0</v>
      </c>
      <c r="J36" s="109">
        <f t="shared" ref="J36:J37" si="21">SUM(H36:I36)</f>
        <v>0</v>
      </c>
      <c r="K36" s="82">
        <f t="shared" si="20"/>
        <v>0</v>
      </c>
      <c r="L36" s="98">
        <f t="shared" ref="L36:L67" si="22">IFERROR(H36/D36,0)</f>
        <v>0</v>
      </c>
      <c r="M36" s="98">
        <f t="shared" ref="M36:M67" si="23">IFERROR(I36/E36,0)</f>
        <v>0</v>
      </c>
      <c r="N36" s="98">
        <v>0</v>
      </c>
    </row>
    <row r="37" spans="1:14" s="81" customFormat="1" ht="15.9" customHeight="1">
      <c r="B37" s="100" t="s">
        <v>54</v>
      </c>
      <c r="C37" s="108">
        <f t="shared" si="3"/>
        <v>9374.4</v>
      </c>
      <c r="D37" s="82">
        <v>0</v>
      </c>
      <c r="E37" s="82">
        <v>9374.4</v>
      </c>
      <c r="F37" s="82">
        <v>19344</v>
      </c>
      <c r="G37" s="82">
        <v>18748.8</v>
      </c>
      <c r="H37" s="82">
        <v>0</v>
      </c>
      <c r="I37" s="82">
        <v>0</v>
      </c>
      <c r="J37" s="109">
        <f t="shared" si="21"/>
        <v>0</v>
      </c>
      <c r="K37" s="82">
        <f t="shared" si="20"/>
        <v>9374.4</v>
      </c>
      <c r="L37" s="83">
        <f t="shared" si="22"/>
        <v>0</v>
      </c>
      <c r="M37" s="83">
        <f t="shared" si="23"/>
        <v>0</v>
      </c>
      <c r="N37" s="98">
        <f>J37/C37</f>
        <v>0</v>
      </c>
    </row>
    <row r="38" spans="1:14" s="81" customFormat="1" ht="15.9" customHeight="1">
      <c r="A38" s="95"/>
      <c r="B38" s="99" t="s">
        <v>49</v>
      </c>
      <c r="C38" s="107">
        <f t="shared" si="3"/>
        <v>478240</v>
      </c>
      <c r="D38" s="96">
        <f>SUM(D39:D40)</f>
        <v>239120</v>
      </c>
      <c r="E38" s="96">
        <f t="shared" ref="E38:H38" si="24">SUM(E39:E40)</f>
        <v>239120</v>
      </c>
      <c r="F38" s="96">
        <f t="shared" si="24"/>
        <v>67339.7788</v>
      </c>
      <c r="G38" s="96">
        <f t="shared" si="24"/>
        <v>67339.7788</v>
      </c>
      <c r="H38" s="96">
        <f t="shared" si="24"/>
        <v>35226.03</v>
      </c>
      <c r="I38" s="96">
        <f>SUM(I39:I40)</f>
        <v>131888.09</v>
      </c>
      <c r="J38" s="96">
        <f>SUM(J39:J40)</f>
        <v>167114.11999999997</v>
      </c>
      <c r="K38" s="96">
        <f>SUM(K39:K40)</f>
        <v>311125.88</v>
      </c>
      <c r="L38" s="97">
        <f t="shared" si="22"/>
        <v>0.14731528103044497</v>
      </c>
      <c r="M38" s="97">
        <f t="shared" si="23"/>
        <v>0.55155608062897288</v>
      </c>
      <c r="N38" s="97">
        <f>J38/C38</f>
        <v>0.34943568082970888</v>
      </c>
    </row>
    <row r="39" spans="1:14" s="81" customFormat="1" ht="13.8">
      <c r="A39" s="81">
        <v>1</v>
      </c>
      <c r="B39" s="100" t="s">
        <v>22</v>
      </c>
      <c r="C39" s="140">
        <f t="shared" si="3"/>
        <v>239120</v>
      </c>
      <c r="D39" s="82">
        <v>119560</v>
      </c>
      <c r="E39" s="82">
        <v>119560</v>
      </c>
      <c r="F39" s="82">
        <v>29890</v>
      </c>
      <c r="G39" s="82">
        <v>29890</v>
      </c>
      <c r="H39" s="82">
        <v>0</v>
      </c>
      <c r="I39" s="109">
        <v>7987.58</v>
      </c>
      <c r="J39" s="109">
        <f t="shared" ref="J39:J64" si="25">SUM(H39:I39)</f>
        <v>7987.58</v>
      </c>
      <c r="K39" s="82">
        <f t="shared" ref="K39:K40" si="26">C39-J39</f>
        <v>231132.42</v>
      </c>
      <c r="L39" s="98">
        <f t="shared" si="22"/>
        <v>0</v>
      </c>
      <c r="M39" s="98">
        <f t="shared" si="23"/>
        <v>6.6808129809300773E-2</v>
      </c>
      <c r="N39" s="98">
        <f>J39/C39</f>
        <v>3.3404064904650387E-2</v>
      </c>
    </row>
    <row r="40" spans="1:14" s="81" customFormat="1" ht="13.8">
      <c r="A40" s="81">
        <v>1</v>
      </c>
      <c r="B40" s="100" t="s">
        <v>30</v>
      </c>
      <c r="C40" s="140">
        <f t="shared" si="3"/>
        <v>239120</v>
      </c>
      <c r="D40" s="82">
        <v>119560</v>
      </c>
      <c r="E40" s="82">
        <v>119560</v>
      </c>
      <c r="F40" s="82">
        <v>37449.778800000007</v>
      </c>
      <c r="G40" s="82">
        <v>37449.778800000007</v>
      </c>
      <c r="H40" s="82">
        <v>35226.03</v>
      </c>
      <c r="I40" s="109">
        <v>123900.51</v>
      </c>
      <c r="J40" s="109">
        <f t="shared" si="25"/>
        <v>159126.53999999998</v>
      </c>
      <c r="K40" s="82">
        <f t="shared" si="26"/>
        <v>79993.460000000021</v>
      </c>
      <c r="L40" s="83">
        <f t="shared" si="22"/>
        <v>0.29463056206088994</v>
      </c>
      <c r="M40" s="83">
        <f t="shared" si="23"/>
        <v>1.0363040314486449</v>
      </c>
      <c r="N40" s="98">
        <f>J40/C40</f>
        <v>0.66546729675476735</v>
      </c>
    </row>
    <row r="41" spans="1:14" s="81" customFormat="1" ht="15.9" customHeight="1">
      <c r="A41" s="95"/>
      <c r="B41" s="99" t="s">
        <v>50</v>
      </c>
      <c r="C41" s="107">
        <f t="shared" si="3"/>
        <v>66447.359999999986</v>
      </c>
      <c r="D41" s="96">
        <f>D42</f>
        <v>33223.68</v>
      </c>
      <c r="E41" s="96">
        <f t="shared" ref="E41:H41" si="27">E42</f>
        <v>33223.679999999993</v>
      </c>
      <c r="F41" s="96">
        <f t="shared" si="27"/>
        <v>34278.400000000001</v>
      </c>
      <c r="G41" s="96">
        <f t="shared" si="27"/>
        <v>33223.68</v>
      </c>
      <c r="H41" s="96">
        <f t="shared" si="27"/>
        <v>33025.919999999998</v>
      </c>
      <c r="I41" s="96">
        <f>I42</f>
        <v>33223.68</v>
      </c>
      <c r="J41" s="96">
        <f>J42</f>
        <v>66249.600000000006</v>
      </c>
      <c r="K41" s="96">
        <f>K42</f>
        <v>197.75999999998021</v>
      </c>
      <c r="L41" s="97">
        <f t="shared" si="22"/>
        <v>0.99404761904761896</v>
      </c>
      <c r="M41" s="97">
        <f t="shared" si="23"/>
        <v>1.0000000000000002</v>
      </c>
      <c r="N41" s="97">
        <f>J41/C41</f>
        <v>0.99702380952380987</v>
      </c>
    </row>
    <row r="42" spans="1:14" s="81" customFormat="1" ht="15.9" customHeight="1">
      <c r="B42" s="100" t="s">
        <v>54</v>
      </c>
      <c r="C42" s="140">
        <f t="shared" si="3"/>
        <v>66447.359999999986</v>
      </c>
      <c r="D42" s="82">
        <v>33223.68</v>
      </c>
      <c r="E42" s="82">
        <v>33223.679999999993</v>
      </c>
      <c r="F42" s="82">
        <v>34278.400000000001</v>
      </c>
      <c r="G42" s="82">
        <v>33223.68</v>
      </c>
      <c r="H42" s="82">
        <v>33025.919999999998</v>
      </c>
      <c r="I42" s="82">
        <v>33223.68</v>
      </c>
      <c r="J42" s="109">
        <f t="shared" si="25"/>
        <v>66249.600000000006</v>
      </c>
      <c r="K42" s="82">
        <f>C42-J42</f>
        <v>197.75999999998021</v>
      </c>
      <c r="L42" s="83">
        <f t="shared" si="22"/>
        <v>0.99404761904761896</v>
      </c>
      <c r="M42" s="83">
        <f t="shared" si="23"/>
        <v>1.0000000000000002</v>
      </c>
      <c r="N42" s="98">
        <f t="shared" ref="N42" si="28">J42/C42</f>
        <v>0.99702380952380987</v>
      </c>
    </row>
    <row r="43" spans="1:14" s="81" customFormat="1" ht="15.9" customHeight="1">
      <c r="A43" s="95"/>
      <c r="B43" s="99" t="s">
        <v>51</v>
      </c>
      <c r="C43" s="107">
        <f t="shared" si="3"/>
        <v>185380.8</v>
      </c>
      <c r="D43" s="96">
        <f>SUM(D44:D45)</f>
        <v>92690.400000000009</v>
      </c>
      <c r="E43" s="96">
        <f t="shared" ref="E43:H43" si="29">SUM(E44:E45)</f>
        <v>92690.4</v>
      </c>
      <c r="F43" s="96">
        <f t="shared" si="29"/>
        <v>95052</v>
      </c>
      <c r="G43" s="96">
        <f t="shared" si="29"/>
        <v>92690.4</v>
      </c>
      <c r="H43" s="96">
        <f t="shared" si="29"/>
        <v>78460.27</v>
      </c>
      <c r="I43" s="96">
        <f>SUM(I44:I45)</f>
        <v>75526.5</v>
      </c>
      <c r="J43" s="96">
        <f>SUM(J44:J45)</f>
        <v>153986.76999999999</v>
      </c>
      <c r="K43" s="96">
        <f>SUM(K44:K45)</f>
        <v>31394.029999999988</v>
      </c>
      <c r="L43" s="97">
        <f t="shared" si="22"/>
        <v>0.84647676566289498</v>
      </c>
      <c r="M43" s="97">
        <f t="shared" si="23"/>
        <v>0.81482548354522155</v>
      </c>
      <c r="N43" s="97">
        <f>J43/C43</f>
        <v>0.83065112460405821</v>
      </c>
    </row>
    <row r="44" spans="1:14" s="81" customFormat="1" ht="13.8">
      <c r="A44" s="81">
        <v>1</v>
      </c>
      <c r="B44" s="100" t="s">
        <v>31</v>
      </c>
      <c r="C44" s="140">
        <f t="shared" si="3"/>
        <v>36600</v>
      </c>
      <c r="D44" s="82">
        <v>18300</v>
      </c>
      <c r="E44" s="82">
        <v>18300</v>
      </c>
      <c r="F44" s="82">
        <v>18300</v>
      </c>
      <c r="G44" s="82">
        <v>18300</v>
      </c>
      <c r="H44" s="82">
        <v>4512.67</v>
      </c>
      <c r="I44" s="109">
        <v>1136.1000000000001</v>
      </c>
      <c r="J44" s="109">
        <f>SUM(H44:I44)</f>
        <v>5648.77</v>
      </c>
      <c r="K44" s="82">
        <f t="shared" ref="K44:K45" si="30">C44-J44</f>
        <v>30951.23</v>
      </c>
      <c r="L44" s="98">
        <f t="shared" si="22"/>
        <v>0.24659398907103824</v>
      </c>
      <c r="M44" s="98">
        <f t="shared" si="23"/>
        <v>6.2081967213114764E-2</v>
      </c>
      <c r="N44" s="98">
        <f>J44/C44</f>
        <v>0.1543379781420765</v>
      </c>
    </row>
    <row r="45" spans="1:14" s="81" customFormat="1" ht="32.1" customHeight="1">
      <c r="B45" s="100" t="s">
        <v>54</v>
      </c>
      <c r="C45" s="140">
        <f t="shared" si="3"/>
        <v>148780.79999999999</v>
      </c>
      <c r="D45" s="82">
        <v>74390.400000000009</v>
      </c>
      <c r="E45" s="82">
        <v>74390.399999999994</v>
      </c>
      <c r="F45" s="82">
        <v>76752</v>
      </c>
      <c r="G45" s="82">
        <v>74390.399999999994</v>
      </c>
      <c r="H45" s="82">
        <v>73947.600000000006</v>
      </c>
      <c r="I45" s="82">
        <v>74390.399999999994</v>
      </c>
      <c r="J45" s="109">
        <f>SUM(H45:I45)</f>
        <v>148338</v>
      </c>
      <c r="K45" s="82">
        <f t="shared" si="30"/>
        <v>442.79999999998836</v>
      </c>
      <c r="L45" s="83">
        <f t="shared" si="22"/>
        <v>0.99404761904761896</v>
      </c>
      <c r="M45" s="83">
        <f t="shared" si="23"/>
        <v>1</v>
      </c>
      <c r="N45" s="98">
        <f>J45/C45</f>
        <v>0.99702380952380965</v>
      </c>
    </row>
    <row r="46" spans="1:14" s="81" customFormat="1" ht="15.9" customHeight="1">
      <c r="A46" s="95"/>
      <c r="B46" s="99" t="s">
        <v>52</v>
      </c>
      <c r="C46" s="107">
        <f t="shared" si="3"/>
        <v>1783378.7999999998</v>
      </c>
      <c r="D46" s="96">
        <f>SUM(D47:D65)</f>
        <v>878157</v>
      </c>
      <c r="E46" s="96">
        <f t="shared" ref="E46:H46" si="31">SUM(E47:E65)</f>
        <v>905221.79999999993</v>
      </c>
      <c r="F46" s="96">
        <f t="shared" si="31"/>
        <v>671808.58000000007</v>
      </c>
      <c r="G46" s="96">
        <f t="shared" si="31"/>
        <v>663038.85199999996</v>
      </c>
      <c r="H46" s="96">
        <f t="shared" si="31"/>
        <v>449130.43</v>
      </c>
      <c r="I46" s="96">
        <f>SUM(I47:I65)</f>
        <v>881104.26000000013</v>
      </c>
      <c r="J46" s="96">
        <f>SUM(J47:J65)</f>
        <v>1330234.6900000002</v>
      </c>
      <c r="K46" s="96">
        <f>SUM(K47:K65)</f>
        <v>453144.10999999987</v>
      </c>
      <c r="L46" s="97">
        <f t="shared" si="22"/>
        <v>0.5114466205929008</v>
      </c>
      <c r="M46" s="97">
        <f t="shared" si="23"/>
        <v>0.97335731419636629</v>
      </c>
      <c r="N46" s="97">
        <f>J46/C46</f>
        <v>0.74590697725015032</v>
      </c>
    </row>
    <row r="47" spans="1:14" s="81" customFormat="1" ht="27.6">
      <c r="A47" s="81">
        <v>1</v>
      </c>
      <c r="B47" s="100" t="s">
        <v>11</v>
      </c>
      <c r="C47" s="140">
        <f t="shared" si="3"/>
        <v>334767.99999999994</v>
      </c>
      <c r="D47" s="82">
        <v>167383.99999999997</v>
      </c>
      <c r="E47" s="82">
        <v>167383.99999999997</v>
      </c>
      <c r="F47" s="82">
        <v>71735.999999999985</v>
      </c>
      <c r="G47" s="82">
        <v>71735.999999999985</v>
      </c>
      <c r="H47" s="82">
        <v>206091.80000000002</v>
      </c>
      <c r="I47" s="109">
        <f>230053.31+108586.65</f>
        <v>338639.95999999996</v>
      </c>
      <c r="J47" s="109">
        <f t="shared" si="25"/>
        <v>544731.76</v>
      </c>
      <c r="K47" s="82">
        <f t="shared" ref="K47:K65" si="32">C47-J47</f>
        <v>-209963.76000000007</v>
      </c>
      <c r="L47" s="83">
        <f t="shared" si="22"/>
        <v>1.2312514935716679</v>
      </c>
      <c r="M47" s="83">
        <f t="shared" si="23"/>
        <v>2.0231321990154378</v>
      </c>
      <c r="N47" s="98">
        <f>J47/C47</f>
        <v>1.6271918462935528</v>
      </c>
    </row>
    <row r="48" spans="1:14" s="81" customFormat="1" ht="32.1" customHeight="1">
      <c r="A48" s="81">
        <v>1</v>
      </c>
      <c r="B48" s="100" t="s">
        <v>21</v>
      </c>
      <c r="C48" s="140">
        <f t="shared" si="3"/>
        <v>0</v>
      </c>
      <c r="D48" s="82">
        <v>0</v>
      </c>
      <c r="E48" s="82">
        <v>0</v>
      </c>
      <c r="F48" s="82">
        <v>5978</v>
      </c>
      <c r="G48" s="82">
        <v>5978</v>
      </c>
      <c r="H48" s="82">
        <v>0</v>
      </c>
      <c r="I48" s="109">
        <v>0</v>
      </c>
      <c r="J48" s="109">
        <f t="shared" si="25"/>
        <v>0</v>
      </c>
      <c r="K48" s="82">
        <f t="shared" si="32"/>
        <v>0</v>
      </c>
      <c r="L48" s="83">
        <f t="shared" si="22"/>
        <v>0</v>
      </c>
      <c r="M48" s="83">
        <f t="shared" si="23"/>
        <v>0</v>
      </c>
      <c r="N48" s="98">
        <v>0</v>
      </c>
    </row>
    <row r="49" spans="1:14" s="81" customFormat="1" ht="32.1" customHeight="1">
      <c r="A49" s="81">
        <v>1</v>
      </c>
      <c r="B49" s="100" t="s">
        <v>5</v>
      </c>
      <c r="C49" s="140">
        <f t="shared" si="3"/>
        <v>71736</v>
      </c>
      <c r="D49" s="82">
        <v>35868</v>
      </c>
      <c r="E49" s="82">
        <v>35868</v>
      </c>
      <c r="F49" s="82">
        <v>0</v>
      </c>
      <c r="G49" s="82">
        <v>0</v>
      </c>
      <c r="H49" s="82">
        <v>0</v>
      </c>
      <c r="I49" s="109">
        <v>0</v>
      </c>
      <c r="J49" s="109">
        <f t="shared" si="25"/>
        <v>0</v>
      </c>
      <c r="K49" s="82">
        <f t="shared" si="32"/>
        <v>71736</v>
      </c>
      <c r="L49" s="83">
        <f t="shared" si="22"/>
        <v>0</v>
      </c>
      <c r="M49" s="83">
        <f t="shared" si="23"/>
        <v>0</v>
      </c>
      <c r="N49" s="98">
        <f t="shared" ref="N49:N60" si="33">J49/C49</f>
        <v>0</v>
      </c>
    </row>
    <row r="50" spans="1:14" s="81" customFormat="1" ht="32.1" customHeight="1">
      <c r="A50" s="81">
        <v>1</v>
      </c>
      <c r="B50" s="100" t="s">
        <v>24</v>
      </c>
      <c r="C50" s="140">
        <f t="shared" si="3"/>
        <v>83691.999999999985</v>
      </c>
      <c r="D50" s="82">
        <v>41845.999999999993</v>
      </c>
      <c r="E50" s="82">
        <v>41845.999999999993</v>
      </c>
      <c r="F50" s="82">
        <v>0</v>
      </c>
      <c r="G50" s="82">
        <v>0</v>
      </c>
      <c r="H50" s="82">
        <v>0</v>
      </c>
      <c r="I50" s="109">
        <f>11392.36+3856.42</f>
        <v>15248.78</v>
      </c>
      <c r="J50" s="109">
        <f t="shared" si="25"/>
        <v>15248.78</v>
      </c>
      <c r="K50" s="82">
        <f t="shared" si="32"/>
        <v>68443.219999999987</v>
      </c>
      <c r="L50" s="83">
        <f t="shared" si="22"/>
        <v>0</v>
      </c>
      <c r="M50" s="83">
        <f t="shared" si="23"/>
        <v>0.36440233236151609</v>
      </c>
      <c r="N50" s="98">
        <f t="shared" si="33"/>
        <v>0.18220116618075805</v>
      </c>
    </row>
    <row r="51" spans="1:14" s="81" customFormat="1" ht="13.8">
      <c r="A51" s="81">
        <v>1</v>
      </c>
      <c r="B51" s="100" t="s">
        <v>25</v>
      </c>
      <c r="C51" s="140">
        <f t="shared" si="3"/>
        <v>89670</v>
      </c>
      <c r="D51" s="82">
        <v>44835</v>
      </c>
      <c r="E51" s="82">
        <v>44835</v>
      </c>
      <c r="F51" s="82">
        <v>44835</v>
      </c>
      <c r="G51" s="82">
        <v>44835</v>
      </c>
      <c r="H51" s="82">
        <v>25288.31</v>
      </c>
      <c r="I51" s="109">
        <f>34539.82+4621.45</f>
        <v>39161.269999999997</v>
      </c>
      <c r="J51" s="109">
        <f t="shared" si="25"/>
        <v>64449.58</v>
      </c>
      <c r="K51" s="82">
        <f t="shared" si="32"/>
        <v>25220.42</v>
      </c>
      <c r="L51" s="83">
        <f t="shared" si="22"/>
        <v>0.56403055648488909</v>
      </c>
      <c r="M51" s="83">
        <f t="shared" si="23"/>
        <v>0.87345310583249691</v>
      </c>
      <c r="N51" s="98">
        <f t="shared" si="33"/>
        <v>0.71874183115869306</v>
      </c>
    </row>
    <row r="52" spans="1:14" s="81" customFormat="1" ht="13.8">
      <c r="A52" s="81">
        <v>1</v>
      </c>
      <c r="B52" s="100" t="s">
        <v>26</v>
      </c>
      <c r="C52" s="140">
        <f t="shared" si="3"/>
        <v>179340</v>
      </c>
      <c r="D52" s="82">
        <v>89670</v>
      </c>
      <c r="E52" s="82">
        <v>89670</v>
      </c>
      <c r="F52" s="82">
        <v>29890</v>
      </c>
      <c r="G52" s="82">
        <v>29890</v>
      </c>
      <c r="H52" s="82">
        <v>38595.949999999997</v>
      </c>
      <c r="I52" s="109">
        <f>45361.96+52960.99</f>
        <v>98322.95</v>
      </c>
      <c r="J52" s="109">
        <f t="shared" si="25"/>
        <v>136918.9</v>
      </c>
      <c r="K52" s="82">
        <f t="shared" si="32"/>
        <v>42421.100000000006</v>
      </c>
      <c r="L52" s="83">
        <f t="shared" si="22"/>
        <v>0.43042210326753649</v>
      </c>
      <c r="M52" s="83">
        <f t="shared" si="23"/>
        <v>1.0964977138396341</v>
      </c>
      <c r="N52" s="98">
        <f t="shared" si="33"/>
        <v>0.76345990855358536</v>
      </c>
    </row>
    <row r="53" spans="1:14" s="81" customFormat="1" ht="32.1" customHeight="1">
      <c r="A53" s="81">
        <v>1</v>
      </c>
      <c r="B53" s="100" t="s">
        <v>27</v>
      </c>
      <c r="C53" s="140">
        <f t="shared" si="3"/>
        <v>59780</v>
      </c>
      <c r="D53" s="82">
        <v>29890</v>
      </c>
      <c r="E53" s="82">
        <v>29890</v>
      </c>
      <c r="F53" s="82">
        <v>0</v>
      </c>
      <c r="G53" s="82">
        <v>0</v>
      </c>
      <c r="H53" s="82">
        <v>0</v>
      </c>
      <c r="I53" s="109">
        <v>0</v>
      </c>
      <c r="J53" s="109">
        <f t="shared" si="25"/>
        <v>0</v>
      </c>
      <c r="K53" s="82">
        <f t="shared" si="32"/>
        <v>59780</v>
      </c>
      <c r="L53" s="83">
        <f t="shared" si="22"/>
        <v>0</v>
      </c>
      <c r="M53" s="83">
        <f t="shared" si="23"/>
        <v>0</v>
      </c>
      <c r="N53" s="98">
        <f t="shared" si="33"/>
        <v>0</v>
      </c>
    </row>
    <row r="54" spans="1:14" s="81" customFormat="1" ht="27.6">
      <c r="A54" s="81">
        <v>1</v>
      </c>
      <c r="B54" s="100" t="s">
        <v>12</v>
      </c>
      <c r="C54" s="140">
        <f t="shared" si="3"/>
        <v>151841.19999999998</v>
      </c>
      <c r="D54" s="82">
        <v>75920.599999999991</v>
      </c>
      <c r="E54" s="82">
        <v>75920.599999999991</v>
      </c>
      <c r="F54" s="82">
        <v>0</v>
      </c>
      <c r="G54" s="82">
        <v>0</v>
      </c>
      <c r="H54" s="82">
        <v>4514.71</v>
      </c>
      <c r="I54" s="109">
        <f>37303.81+23628.49</f>
        <v>60932.3</v>
      </c>
      <c r="J54" s="109">
        <f t="shared" si="25"/>
        <v>65447.01</v>
      </c>
      <c r="K54" s="82">
        <f t="shared" si="32"/>
        <v>86394.189999999973</v>
      </c>
      <c r="L54" s="83">
        <f t="shared" si="22"/>
        <v>5.9466205483096821E-2</v>
      </c>
      <c r="M54" s="83">
        <f t="shared" si="23"/>
        <v>0.80257927360953429</v>
      </c>
      <c r="N54" s="98">
        <f t="shared" si="33"/>
        <v>0.43102273954631554</v>
      </c>
    </row>
    <row r="55" spans="1:14" s="81" customFormat="1" ht="27.6">
      <c r="A55" s="81">
        <v>1</v>
      </c>
      <c r="B55" s="100" t="s">
        <v>13</v>
      </c>
      <c r="C55" s="140">
        <f t="shared" si="3"/>
        <v>77714</v>
      </c>
      <c r="D55" s="82">
        <v>38857</v>
      </c>
      <c r="E55" s="82">
        <v>38857</v>
      </c>
      <c r="F55" s="82">
        <v>0</v>
      </c>
      <c r="G55" s="82">
        <v>0</v>
      </c>
      <c r="H55" s="82">
        <v>1443.5</v>
      </c>
      <c r="I55" s="109">
        <f>38098.13+48984.77</f>
        <v>87082.9</v>
      </c>
      <c r="J55" s="109">
        <f t="shared" si="25"/>
        <v>88526.399999999994</v>
      </c>
      <c r="K55" s="82">
        <f t="shared" si="32"/>
        <v>-10812.399999999994</v>
      </c>
      <c r="L55" s="83">
        <f t="shared" si="22"/>
        <v>3.7149033636153073E-2</v>
      </c>
      <c r="M55" s="83">
        <f t="shared" si="23"/>
        <v>2.241112283501042</v>
      </c>
      <c r="N55" s="98">
        <f t="shared" si="33"/>
        <v>1.1391306585685976</v>
      </c>
    </row>
    <row r="56" spans="1:14" s="81" customFormat="1" ht="27.6">
      <c r="A56" s="81">
        <v>1</v>
      </c>
      <c r="B56" s="100" t="s">
        <v>14</v>
      </c>
      <c r="C56" s="140">
        <f t="shared" si="3"/>
        <v>203252</v>
      </c>
      <c r="D56" s="82">
        <v>101626</v>
      </c>
      <c r="E56" s="82">
        <v>101626</v>
      </c>
      <c r="F56" s="82">
        <v>0</v>
      </c>
      <c r="G56" s="82">
        <v>0</v>
      </c>
      <c r="H56" s="82">
        <v>1412.32</v>
      </c>
      <c r="I56" s="109">
        <f>26216.41+5364.21</f>
        <v>31580.62</v>
      </c>
      <c r="J56" s="109">
        <f t="shared" si="25"/>
        <v>32992.94</v>
      </c>
      <c r="K56" s="82">
        <f t="shared" si="32"/>
        <v>170259.06</v>
      </c>
      <c r="L56" s="83">
        <f t="shared" si="22"/>
        <v>1.3897231023556963E-2</v>
      </c>
      <c r="M56" s="83">
        <f t="shared" si="23"/>
        <v>0.3107533505205361</v>
      </c>
      <c r="N56" s="98">
        <f t="shared" si="33"/>
        <v>0.16232529077204655</v>
      </c>
    </row>
    <row r="57" spans="1:14" s="81" customFormat="1" ht="27.6">
      <c r="A57" s="81">
        <v>1</v>
      </c>
      <c r="B57" s="100" t="s">
        <v>15</v>
      </c>
      <c r="C57" s="140">
        <f t="shared" si="3"/>
        <v>38259.200000000012</v>
      </c>
      <c r="D57" s="82">
        <v>19129.600000000006</v>
      </c>
      <c r="E57" s="82">
        <v>19129.600000000006</v>
      </c>
      <c r="F57" s="82">
        <v>76518.400000000023</v>
      </c>
      <c r="G57" s="82">
        <v>76518.399999999994</v>
      </c>
      <c r="H57" s="82">
        <v>0</v>
      </c>
      <c r="I57" s="109">
        <v>420.03</v>
      </c>
      <c r="J57" s="109">
        <f t="shared" si="25"/>
        <v>420.03</v>
      </c>
      <c r="K57" s="82">
        <f t="shared" si="32"/>
        <v>37839.170000000013</v>
      </c>
      <c r="L57" s="83">
        <f t="shared" si="22"/>
        <v>0</v>
      </c>
      <c r="M57" s="83">
        <f t="shared" si="23"/>
        <v>2.1957071763131473E-2</v>
      </c>
      <c r="N57" s="98">
        <f t="shared" si="33"/>
        <v>1.0978535881565736E-2</v>
      </c>
    </row>
    <row r="58" spans="1:14" s="81" customFormat="1" ht="27.6">
      <c r="A58" s="81">
        <v>1</v>
      </c>
      <c r="B58" s="100" t="s">
        <v>16</v>
      </c>
      <c r="C58" s="140">
        <f t="shared" si="3"/>
        <v>59780</v>
      </c>
      <c r="D58" s="82">
        <v>29890</v>
      </c>
      <c r="E58" s="82">
        <v>29890</v>
      </c>
      <c r="F58" s="82">
        <v>115375.4</v>
      </c>
      <c r="G58" s="82">
        <v>115375.4</v>
      </c>
      <c r="H58" s="82">
        <v>0</v>
      </c>
      <c r="I58" s="109">
        <v>963.31</v>
      </c>
      <c r="J58" s="109">
        <f t="shared" si="25"/>
        <v>963.31</v>
      </c>
      <c r="K58" s="82">
        <f t="shared" si="32"/>
        <v>58816.69</v>
      </c>
      <c r="L58" s="83">
        <f t="shared" si="22"/>
        <v>0</v>
      </c>
      <c r="M58" s="83">
        <f t="shared" si="23"/>
        <v>3.2228504516560723E-2</v>
      </c>
      <c r="N58" s="98">
        <f t="shared" si="33"/>
        <v>1.6114252258280361E-2</v>
      </c>
    </row>
    <row r="59" spans="1:14" s="81" customFormat="1" ht="27.6">
      <c r="A59" s="81">
        <v>1</v>
      </c>
      <c r="B59" s="100" t="s">
        <v>17</v>
      </c>
      <c r="C59" s="140">
        <f t="shared" si="3"/>
        <v>11956</v>
      </c>
      <c r="D59" s="82">
        <v>5978</v>
      </c>
      <c r="E59" s="82">
        <v>5978</v>
      </c>
      <c r="F59" s="82">
        <v>41547.100000000006</v>
      </c>
      <c r="G59" s="82">
        <v>41547.100000000006</v>
      </c>
      <c r="H59" s="82">
        <v>0</v>
      </c>
      <c r="I59" s="109">
        <f>2991.39+532.08</f>
        <v>3523.47</v>
      </c>
      <c r="J59" s="109">
        <f t="shared" si="25"/>
        <v>3523.47</v>
      </c>
      <c r="K59" s="82">
        <f t="shared" si="32"/>
        <v>8432.5300000000007</v>
      </c>
      <c r="L59" s="83">
        <f t="shared" si="22"/>
        <v>0</v>
      </c>
      <c r="M59" s="83">
        <f t="shared" si="23"/>
        <v>0.58940615590498491</v>
      </c>
      <c r="N59" s="98">
        <f t="shared" si="33"/>
        <v>0.29470307795249245</v>
      </c>
    </row>
    <row r="60" spans="1:14" s="81" customFormat="1" ht="60.9" customHeight="1">
      <c r="A60" s="81">
        <v>1</v>
      </c>
      <c r="B60" s="100" t="s">
        <v>18</v>
      </c>
      <c r="C60" s="140">
        <f t="shared" si="3"/>
        <v>35868</v>
      </c>
      <c r="D60" s="82">
        <v>17934</v>
      </c>
      <c r="E60" s="82">
        <v>17934</v>
      </c>
      <c r="F60" s="82">
        <v>0</v>
      </c>
      <c r="G60" s="82">
        <v>0</v>
      </c>
      <c r="H60" s="82">
        <v>36557.43</v>
      </c>
      <c r="I60" s="109">
        <f>9981.55+7317.83</f>
        <v>17299.379999999997</v>
      </c>
      <c r="J60" s="109">
        <f t="shared" si="25"/>
        <v>53856.81</v>
      </c>
      <c r="K60" s="82">
        <f>C60-J60</f>
        <v>-17988.809999999998</v>
      </c>
      <c r="L60" s="83">
        <f t="shared" si="22"/>
        <v>2.0384426229508197</v>
      </c>
      <c r="M60" s="83">
        <f t="shared" si="23"/>
        <v>0.96461358313817314</v>
      </c>
      <c r="N60" s="98">
        <f t="shared" si="33"/>
        <v>1.5015281030444965</v>
      </c>
    </row>
    <row r="61" spans="1:14" s="81" customFormat="1" ht="27.6">
      <c r="A61" s="81">
        <v>1</v>
      </c>
      <c r="B61" s="100" t="s">
        <v>19</v>
      </c>
      <c r="C61" s="140">
        <f t="shared" si="3"/>
        <v>0</v>
      </c>
      <c r="D61" s="82">
        <v>0</v>
      </c>
      <c r="E61" s="82">
        <v>0</v>
      </c>
      <c r="F61" s="82">
        <v>17934</v>
      </c>
      <c r="G61" s="82">
        <v>17934</v>
      </c>
      <c r="H61" s="82">
        <v>0</v>
      </c>
      <c r="I61" s="109">
        <v>0</v>
      </c>
      <c r="J61" s="109">
        <f t="shared" si="25"/>
        <v>0</v>
      </c>
      <c r="K61" s="82">
        <f t="shared" si="32"/>
        <v>0</v>
      </c>
      <c r="L61" s="83">
        <f t="shared" si="22"/>
        <v>0</v>
      </c>
      <c r="M61" s="83">
        <f t="shared" si="23"/>
        <v>0</v>
      </c>
      <c r="N61" s="98">
        <v>0</v>
      </c>
    </row>
    <row r="62" spans="1:14" s="81" customFormat="1" ht="32.1" customHeight="1">
      <c r="A62" s="81">
        <v>1</v>
      </c>
      <c r="B62" s="100" t="s">
        <v>28</v>
      </c>
      <c r="C62" s="140">
        <f t="shared" si="3"/>
        <v>0</v>
      </c>
      <c r="D62" s="82">
        <v>0</v>
      </c>
      <c r="E62" s="82">
        <v>0</v>
      </c>
      <c r="F62" s="82">
        <v>62769</v>
      </c>
      <c r="G62" s="82">
        <v>62769</v>
      </c>
      <c r="H62" s="82">
        <v>0</v>
      </c>
      <c r="I62" s="109">
        <v>0</v>
      </c>
      <c r="J62" s="109">
        <f t="shared" si="25"/>
        <v>0</v>
      </c>
      <c r="K62" s="82">
        <f t="shared" si="32"/>
        <v>0</v>
      </c>
      <c r="L62" s="83">
        <f t="shared" si="22"/>
        <v>0</v>
      </c>
      <c r="M62" s="83">
        <f t="shared" si="23"/>
        <v>0</v>
      </c>
      <c r="N62" s="98">
        <v>0</v>
      </c>
    </row>
    <row r="63" spans="1:14" s="81" customFormat="1" ht="32.1" customHeight="1">
      <c r="A63" s="81">
        <v>1</v>
      </c>
      <c r="B63" s="100" t="s">
        <v>20</v>
      </c>
      <c r="C63" s="140">
        <f t="shared" si="3"/>
        <v>59780</v>
      </c>
      <c r="D63" s="82">
        <v>29890</v>
      </c>
      <c r="E63" s="82">
        <v>29890</v>
      </c>
      <c r="F63" s="82">
        <v>29890</v>
      </c>
      <c r="G63" s="82">
        <v>29890</v>
      </c>
      <c r="H63" s="82">
        <v>0</v>
      </c>
      <c r="I63" s="109">
        <v>25620</v>
      </c>
      <c r="J63" s="109">
        <f t="shared" si="25"/>
        <v>25620</v>
      </c>
      <c r="K63" s="82">
        <f t="shared" si="32"/>
        <v>34160</v>
      </c>
      <c r="L63" s="83">
        <f t="shared" si="22"/>
        <v>0</v>
      </c>
      <c r="M63" s="83">
        <f t="shared" si="23"/>
        <v>0.8571428571428571</v>
      </c>
      <c r="N63" s="98">
        <f>J63/C63</f>
        <v>0.42857142857142855</v>
      </c>
    </row>
    <row r="64" spans="1:14" s="81" customFormat="1" ht="13.8">
      <c r="A64" s="81">
        <v>1</v>
      </c>
      <c r="B64" s="100" t="s">
        <v>10</v>
      </c>
      <c r="C64" s="140">
        <f t="shared" si="3"/>
        <v>59780</v>
      </c>
      <c r="D64" s="82">
        <v>29890</v>
      </c>
      <c r="E64" s="82">
        <v>29890</v>
      </c>
      <c r="F64" s="82">
        <v>0</v>
      </c>
      <c r="G64" s="82">
        <v>0</v>
      </c>
      <c r="H64" s="82">
        <v>20603.97</v>
      </c>
      <c r="I64" s="109">
        <f>37950.14+4810.35</f>
        <v>42760.49</v>
      </c>
      <c r="J64" s="109">
        <f t="shared" si="25"/>
        <v>63364.46</v>
      </c>
      <c r="K64" s="82">
        <f t="shared" si="32"/>
        <v>-3584.4599999999991</v>
      </c>
      <c r="L64" s="83">
        <f t="shared" si="22"/>
        <v>0.68932653061224491</v>
      </c>
      <c r="M64" s="83">
        <f t="shared" si="23"/>
        <v>1.4305951823352292</v>
      </c>
      <c r="N64" s="98">
        <f>J64/C64</f>
        <v>1.0599608564737371</v>
      </c>
    </row>
    <row r="65" spans="1:14" s="81" customFormat="1" ht="15.9" customHeight="1">
      <c r="B65" s="100" t="s">
        <v>54</v>
      </c>
      <c r="C65" s="140">
        <f t="shared" si="3"/>
        <v>266162.39999999997</v>
      </c>
      <c r="D65" s="82">
        <v>119548.79999999999</v>
      </c>
      <c r="E65" s="82">
        <v>146613.59999999998</v>
      </c>
      <c r="F65" s="82">
        <v>175335.67999999999</v>
      </c>
      <c r="G65" s="82">
        <v>166565.95199999999</v>
      </c>
      <c r="H65" s="82">
        <v>114622.43999999999</v>
      </c>
      <c r="I65" s="82">
        <v>119548.8</v>
      </c>
      <c r="J65" s="109">
        <f>SUM(H65:I65)</f>
        <v>234171.24</v>
      </c>
      <c r="K65" s="82">
        <f t="shared" si="32"/>
        <v>31991.159999999974</v>
      </c>
      <c r="L65" s="98">
        <f t="shared" si="22"/>
        <v>0.95879205813860113</v>
      </c>
      <c r="M65" s="98">
        <f t="shared" si="23"/>
        <v>0.81540048126503972</v>
      </c>
      <c r="N65" s="98">
        <f>J65/C65</f>
        <v>0.87980586288671891</v>
      </c>
    </row>
    <row r="66" spans="1:14" s="81" customFormat="1" ht="15.9" customHeight="1">
      <c r="A66" s="95"/>
      <c r="B66" s="99" t="s">
        <v>53</v>
      </c>
      <c r="C66" s="107">
        <f t="shared" si="3"/>
        <v>106392.4</v>
      </c>
      <c r="D66" s="96">
        <f>D67</f>
        <v>0</v>
      </c>
      <c r="E66" s="96">
        <f t="shared" ref="E66:H66" si="34">E67</f>
        <v>106392.4</v>
      </c>
      <c r="F66" s="96">
        <f t="shared" si="34"/>
        <v>111795.79999999999</v>
      </c>
      <c r="G66" s="96">
        <f t="shared" si="34"/>
        <v>140492.53999999995</v>
      </c>
      <c r="H66" s="96">
        <f t="shared" si="34"/>
        <v>0</v>
      </c>
      <c r="I66" s="96">
        <f>I67</f>
        <v>0</v>
      </c>
      <c r="J66" s="96">
        <f>J67</f>
        <v>0</v>
      </c>
      <c r="K66" s="96">
        <f>K67</f>
        <v>106392.4</v>
      </c>
      <c r="L66" s="97">
        <f t="shared" si="22"/>
        <v>0</v>
      </c>
      <c r="M66" s="97">
        <f t="shared" si="23"/>
        <v>0</v>
      </c>
      <c r="N66" s="97">
        <f>J66/C66</f>
        <v>0</v>
      </c>
    </row>
    <row r="67" spans="1:14" s="81" customFormat="1" ht="32.1" customHeight="1">
      <c r="A67" s="81">
        <v>1</v>
      </c>
      <c r="B67" s="101" t="s">
        <v>29</v>
      </c>
      <c r="C67" s="140">
        <f t="shared" si="3"/>
        <v>106392.4</v>
      </c>
      <c r="D67" s="84">
        <v>0</v>
      </c>
      <c r="E67" s="84">
        <v>106392.4</v>
      </c>
      <c r="F67" s="84">
        <v>111795.79999999999</v>
      </c>
      <c r="G67" s="84">
        <v>140492.53999999995</v>
      </c>
      <c r="H67" s="84">
        <v>0</v>
      </c>
      <c r="I67" s="84">
        <v>0</v>
      </c>
      <c r="J67" s="109">
        <f>SUM(H67:I67)</f>
        <v>0</v>
      </c>
      <c r="K67" s="82">
        <f>C67-J67</f>
        <v>106392.4</v>
      </c>
      <c r="L67" s="85">
        <f t="shared" si="22"/>
        <v>0</v>
      </c>
      <c r="M67" s="85">
        <f t="shared" si="23"/>
        <v>0</v>
      </c>
      <c r="N67" s="98">
        <f>J67/C67</f>
        <v>0</v>
      </c>
    </row>
    <row r="68" spans="1:14" s="81" customFormat="1" ht="32.1" customHeight="1">
      <c r="A68" s="86"/>
      <c r="B68" s="89" t="s">
        <v>63</v>
      </c>
      <c r="C68" s="90">
        <f>SUMIF($B$4:$B$67,"Tööjõukulu",C4:C67)</f>
        <v>1063867.392</v>
      </c>
      <c r="D68" s="90">
        <f t="shared" ref="D68:G68" si="35">SUMIF($B$4:$B$67,"Tööjõukulu",D4:D67)</f>
        <v>480989.37599999999</v>
      </c>
      <c r="E68" s="90">
        <f t="shared" si="35"/>
        <v>582878.01599999995</v>
      </c>
      <c r="F68" s="90">
        <f t="shared" si="35"/>
        <v>646040.48</v>
      </c>
      <c r="G68" s="90">
        <f t="shared" si="35"/>
        <v>623595.16800000006</v>
      </c>
      <c r="H68" s="90">
        <f t="shared" ref="H68" si="36">SUMIF($B$4:$B$67,"Tööjõukulu",H4:H67)</f>
        <v>471875.02999999997</v>
      </c>
      <c r="I68" s="90">
        <f>SUMIF($B$4:$B$67,"Tööjõukulu",I4:I67)</f>
        <v>415723.56</v>
      </c>
      <c r="J68" s="90">
        <f>SUMIF($B$4:$B$67,"Tööjõukulu",J4:J67)</f>
        <v>887598.59</v>
      </c>
      <c r="K68" s="90">
        <f>SUMIF($B$4:$B$67,"Tööjõukulu",K4:K67)</f>
        <v>176268.80199999994</v>
      </c>
      <c r="L68" s="90"/>
      <c r="M68" s="90"/>
      <c r="N68" s="90"/>
    </row>
    <row r="69" spans="1:14" s="81" customFormat="1" ht="32.1" customHeight="1">
      <c r="A69" s="86"/>
      <c r="B69" s="91" t="s">
        <v>64</v>
      </c>
      <c r="C69" s="92">
        <f t="shared" ref="C69:G69" si="37">C70-C68</f>
        <v>3263776.8</v>
      </c>
      <c r="D69" s="92">
        <f t="shared" si="37"/>
        <v>1578692.2</v>
      </c>
      <c r="E69" s="92">
        <f t="shared" si="37"/>
        <v>1685084.6</v>
      </c>
      <c r="F69" s="92">
        <f t="shared" si="37"/>
        <v>1253684.7588000002</v>
      </c>
      <c r="G69" s="92">
        <f t="shared" si="37"/>
        <v>1281548.2187999997</v>
      </c>
      <c r="H69" s="92">
        <f t="shared" ref="H69:I69" si="38">H70-H68</f>
        <v>846915.43000000017</v>
      </c>
      <c r="I69" s="92">
        <f t="shared" si="38"/>
        <v>1461649.2800000003</v>
      </c>
      <c r="J69" s="92">
        <f>J70-J68</f>
        <v>2308564.7100000004</v>
      </c>
      <c r="K69" s="92">
        <f>K70-K68</f>
        <v>955212.09000000008</v>
      </c>
      <c r="L69" s="92"/>
      <c r="M69" s="92"/>
      <c r="N69" s="92"/>
    </row>
    <row r="70" spans="1:14" s="81" customFormat="1" ht="32.1" customHeight="1">
      <c r="A70" s="86"/>
      <c r="B70" s="93" t="s">
        <v>300</v>
      </c>
      <c r="C70" s="94">
        <f t="shared" ref="C70:G70" si="39">C4+C6+C12+C14+C16+C20+C24+C27+C29+C34+C38+C41+C43+C46+C66+C18</f>
        <v>4327644.1919999998</v>
      </c>
      <c r="D70" s="94">
        <f t="shared" si="39"/>
        <v>2059681.5759999999</v>
      </c>
      <c r="E70" s="94">
        <f t="shared" si="39"/>
        <v>2267962.6159999999</v>
      </c>
      <c r="F70" s="94">
        <f t="shared" si="39"/>
        <v>1899725.2388000002</v>
      </c>
      <c r="G70" s="94">
        <f t="shared" si="39"/>
        <v>1905143.3867999997</v>
      </c>
      <c r="H70" s="94">
        <f>H4+H6+H12+H14+H16+H20+H24+H27+H29+H34+H38+H41+H43+H46+H66+H18</f>
        <v>1318790.4600000002</v>
      </c>
      <c r="I70" s="94">
        <f t="shared" ref="I70" si="40">I4+I6+I12+I14+I16+I20+I24+I27+I29+I34+I38+I41+I43+I46+I66+I18</f>
        <v>1877372.8400000003</v>
      </c>
      <c r="J70" s="94">
        <f>J4+J6+J12+J14+J16+J20+J24+J27+J29+J34+J38+J41+J43+J46+J66+J18</f>
        <v>3196163.3000000003</v>
      </c>
      <c r="K70" s="94">
        <f>K4+K6+K12+K14+K16+K20+K24+K27+K29+K34+K38+K41+K43+K46+K66+K18</f>
        <v>1131480.892</v>
      </c>
      <c r="L70" s="94"/>
      <c r="M70" s="94"/>
      <c r="N70" s="94"/>
    </row>
    <row r="73" spans="1:14" ht="15.9" customHeight="1">
      <c r="D73" s="5"/>
    </row>
    <row r="74" spans="1:14" ht="15.9" customHeight="1">
      <c r="K74" s="5"/>
    </row>
    <row r="75" spans="1:14" ht="15.9" customHeight="1">
      <c r="K75" s="5"/>
    </row>
    <row r="76" spans="1:14" ht="15.9" customHeight="1">
      <c r="D76" s="5"/>
      <c r="K76" s="5"/>
    </row>
    <row r="79" spans="1:14" ht="15.9" customHeight="1">
      <c r="D79" s="5"/>
    </row>
    <row r="81" spans="4:4" ht="15.9" customHeight="1">
      <c r="D81" s="5"/>
    </row>
    <row r="82" spans="4:4" ht="15.9" customHeight="1">
      <c r="D82" s="5"/>
    </row>
    <row r="83" spans="4:4" ht="15.9" customHeight="1">
      <c r="D83" s="5"/>
    </row>
  </sheetData>
  <autoFilter ref="A3:M70" xr:uid="{30D263DF-C9AA-E144-A1C0-5C5F1D37A725}"/>
  <mergeCells count="1">
    <mergeCell ref="D1:M1"/>
  </mergeCells>
  <conditionalFormatting sqref="L4:L5 L7:L67">
    <cfRule type="cellIs" dxfId="7" priority="24" operator="lessThan">
      <formula>0</formula>
    </cfRule>
  </conditionalFormatting>
  <conditionalFormatting sqref="M5 M7:M67">
    <cfRule type="cellIs" dxfId="6" priority="15" operator="lessThan">
      <formula>0</formula>
    </cfRule>
  </conditionalFormatting>
  <conditionalFormatting sqref="K5 K7:K11 K13 K15 K17 K19 K21:K23 K25:K26 K28 K30:K33 K35:K37 K39:K40 K42 K44:K45 K47:K65 K67">
    <cfRule type="cellIs" dxfId="5" priority="13" operator="lessThan">
      <formula>0</formula>
    </cfRule>
  </conditionalFormatting>
  <conditionalFormatting sqref="L6:M6">
    <cfRule type="cellIs" dxfId="4" priority="12" operator="lessThan">
      <formula>0</formula>
    </cfRule>
  </conditionalFormatting>
  <conditionalFormatting sqref="M4">
    <cfRule type="cellIs" dxfId="3" priority="10" operator="lessThan">
      <formula>0</formula>
    </cfRule>
  </conditionalFormatting>
  <conditionalFormatting sqref="N5 N7:N67">
    <cfRule type="cellIs" dxfId="2" priority="8" operator="lessThan">
      <formula>0</formula>
    </cfRule>
  </conditionalFormatting>
  <conditionalFormatting sqref="N4">
    <cfRule type="cellIs" dxfId="1" priority="4" operator="lessThan">
      <formula>0</formula>
    </cfRule>
  </conditionalFormatting>
  <conditionalFormatting sqref="N6">
    <cfRule type="cellIs" dxfId="0" priority="2" operator="less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CD3AC-341A-194B-BD1A-5405F80581D0}">
  <dimension ref="A1:AC70"/>
  <sheetViews>
    <sheetView topLeftCell="F1" zoomScaleNormal="100" workbookViewId="0">
      <selection activeCell="E68" sqref="E68:I68"/>
    </sheetView>
  </sheetViews>
  <sheetFormatPr defaultColWidth="10.81640625" defaultRowHeight="15.9" customHeight="1"/>
  <cols>
    <col min="1" max="1" width="101.36328125" style="1" bestFit="1" customWidth="1"/>
    <col min="2" max="4" width="12" style="1" customWidth="1"/>
    <col min="5" max="5" width="12.6328125" style="1" bestFit="1" customWidth="1"/>
    <col min="6" max="8" width="11.81640625" style="1" customWidth="1"/>
    <col min="9" max="9" width="12.6328125" style="1" bestFit="1" customWidth="1"/>
    <col min="10" max="12" width="12" style="1" customWidth="1"/>
    <col min="13" max="13" width="12.36328125" style="1" customWidth="1"/>
    <col min="14" max="16" width="12" style="1" customWidth="1"/>
    <col min="17" max="17" width="13.453125" style="1" bestFit="1" customWidth="1"/>
    <col min="18" max="18" width="42.81640625" style="1" customWidth="1"/>
    <col min="19" max="19" width="17.36328125" style="1" customWidth="1"/>
    <col min="20" max="20" width="14.81640625" style="1" customWidth="1"/>
    <col min="21" max="21" width="10.81640625" style="1"/>
    <col min="22" max="22" width="13.81640625" style="1" customWidth="1"/>
    <col min="23" max="23" width="12.453125" style="1" bestFit="1" customWidth="1"/>
    <col min="24" max="24" width="12.6328125" style="1" customWidth="1"/>
    <col min="25" max="25" width="10.81640625" style="1"/>
    <col min="26" max="26" width="13.453125" style="1" customWidth="1"/>
    <col min="27" max="27" width="12.6328125" style="1" customWidth="1"/>
    <col min="28" max="28" width="10.81640625" style="1"/>
    <col min="29" max="29" width="13.453125" style="1" customWidth="1"/>
    <col min="30" max="16384" width="10.81640625" style="1"/>
  </cols>
  <sheetData>
    <row r="1" spans="1:29" ht="144.9" customHeight="1">
      <c r="A1" s="53" t="s">
        <v>298</v>
      </c>
      <c r="S1" s="1" t="s">
        <v>315</v>
      </c>
    </row>
    <row r="2" spans="1:29" ht="27.6">
      <c r="A2" s="11" t="s">
        <v>56</v>
      </c>
      <c r="B2" s="12">
        <v>1</v>
      </c>
      <c r="C2" s="12">
        <v>2</v>
      </c>
      <c r="D2" s="12">
        <v>3</v>
      </c>
      <c r="E2" s="13" t="s">
        <v>55</v>
      </c>
      <c r="F2" s="12">
        <v>4</v>
      </c>
      <c r="G2" s="12">
        <v>5</v>
      </c>
      <c r="H2" s="12">
        <v>6</v>
      </c>
      <c r="I2" s="13" t="s">
        <v>58</v>
      </c>
      <c r="J2" s="12">
        <v>7</v>
      </c>
      <c r="K2" s="12">
        <v>8</v>
      </c>
      <c r="L2" s="12">
        <v>9</v>
      </c>
      <c r="M2" s="13" t="s">
        <v>59</v>
      </c>
      <c r="N2" s="12">
        <v>10</v>
      </c>
      <c r="O2" s="12">
        <v>11</v>
      </c>
      <c r="P2" s="12">
        <v>12</v>
      </c>
      <c r="Q2" s="13" t="s">
        <v>60</v>
      </c>
      <c r="R2" s="13" t="s">
        <v>57</v>
      </c>
      <c r="T2" s="65" t="s">
        <v>311</v>
      </c>
      <c r="U2" s="65" t="s">
        <v>307</v>
      </c>
      <c r="V2" s="65" t="s">
        <v>312</v>
      </c>
      <c r="W2" s="66" t="s">
        <v>308</v>
      </c>
      <c r="X2" s="65" t="s">
        <v>309</v>
      </c>
      <c r="Y2" s="65" t="s">
        <v>310</v>
      </c>
      <c r="Z2" s="66" t="s">
        <v>308</v>
      </c>
      <c r="AA2" s="65" t="s">
        <v>313</v>
      </c>
      <c r="AB2" s="65" t="s">
        <v>314</v>
      </c>
      <c r="AC2" s="66" t="s">
        <v>308</v>
      </c>
    </row>
    <row r="3" spans="1:29" ht="15.9" customHeight="1">
      <c r="A3" s="2" t="s">
        <v>36</v>
      </c>
      <c r="B3" s="8">
        <v>5237.76</v>
      </c>
      <c r="C3" s="8">
        <v>4999.68</v>
      </c>
      <c r="D3" s="8">
        <v>4761.6000000000004</v>
      </c>
      <c r="E3" s="3">
        <f>SUM(B3:D3)</f>
        <v>14999.04</v>
      </c>
      <c r="F3" s="8">
        <v>5237.76</v>
      </c>
      <c r="G3" s="8">
        <v>5237.76</v>
      </c>
      <c r="H3" s="8">
        <v>4523.5200000000004</v>
      </c>
      <c r="I3" s="3">
        <f>SUM(F3:H3)</f>
        <v>14999.04</v>
      </c>
      <c r="J3" s="8">
        <v>5475.84</v>
      </c>
      <c r="K3" s="8">
        <v>4999.68</v>
      </c>
      <c r="L3" s="8">
        <v>4999.68</v>
      </c>
      <c r="M3" s="3">
        <f>SUM(J3:L3)</f>
        <v>15475.2</v>
      </c>
      <c r="N3" s="8">
        <v>5475.84</v>
      </c>
      <c r="O3" s="8">
        <v>4999.68</v>
      </c>
      <c r="P3" s="8">
        <v>4523.5200000000004</v>
      </c>
      <c r="Q3" s="3">
        <f>SUM(N3:P3)</f>
        <v>14999.04</v>
      </c>
      <c r="R3" s="23"/>
      <c r="T3" s="5"/>
      <c r="U3" s="61" t="str">
        <f>LEFT(A3,9)</f>
        <v>Andmekorr</v>
      </c>
      <c r="V3" s="62">
        <f>IFERROR(VLOOKUP(U3,'Investeeringute kirjeldus'!$A$3:$R$37,9,FALSE),0)</f>
        <v>0</v>
      </c>
      <c r="W3" s="64"/>
      <c r="X3" s="62"/>
      <c r="Z3" s="64"/>
      <c r="AA3" s="62"/>
      <c r="AC3" s="64"/>
    </row>
    <row r="4" spans="1:29" ht="15.9" customHeight="1">
      <c r="A4" s="4" t="s">
        <v>54</v>
      </c>
      <c r="B4" s="9">
        <v>5237.76</v>
      </c>
      <c r="C4" s="9">
        <v>4999.68</v>
      </c>
      <c r="D4" s="9">
        <v>4761.6000000000004</v>
      </c>
      <c r="E4" s="5">
        <f t="shared" ref="E4:E69" si="0">SUM(B4:D4)</f>
        <v>14999.04</v>
      </c>
      <c r="F4" s="9">
        <v>5237.76</v>
      </c>
      <c r="G4" s="9">
        <v>5237.76</v>
      </c>
      <c r="H4" s="9">
        <v>4523.5200000000004</v>
      </c>
      <c r="I4" s="5">
        <f t="shared" ref="I4:I69" si="1">SUM(F4:H4)</f>
        <v>14999.04</v>
      </c>
      <c r="J4" s="9">
        <v>5475.84</v>
      </c>
      <c r="K4" s="9">
        <v>4999.68</v>
      </c>
      <c r="L4" s="9">
        <v>4999.68</v>
      </c>
      <c r="M4" s="5">
        <f t="shared" ref="M4:M69" si="2">SUM(J4:L4)</f>
        <v>15475.2</v>
      </c>
      <c r="N4" s="9">
        <v>5475.84</v>
      </c>
      <c r="O4" s="9">
        <v>4999.68</v>
      </c>
      <c r="P4" s="9">
        <v>4523.5200000000004</v>
      </c>
      <c r="Q4" s="5">
        <f t="shared" ref="Q4:Q69" si="3">SUM(N4:P4)</f>
        <v>14999.04</v>
      </c>
      <c r="R4" s="24"/>
      <c r="T4" s="5"/>
      <c r="U4" s="61" t="str">
        <f t="shared" ref="U4:U66" si="4">LEFT(A4,9)</f>
        <v>Tööjõukul</v>
      </c>
      <c r="V4" s="62">
        <f>IFERROR(VLOOKUP(U4,'Investeeringute kirjeldus'!$A$3:$R$37,9,FALSE),0)</f>
        <v>0</v>
      </c>
      <c r="W4" s="64"/>
      <c r="Z4" s="64"/>
      <c r="AC4" s="64"/>
    </row>
    <row r="5" spans="1:29" ht="15.9" customHeight="1">
      <c r="A5" s="2" t="s">
        <v>37</v>
      </c>
      <c r="B5" s="8">
        <v>61019.866666666669</v>
      </c>
      <c r="C5" s="8">
        <v>59978.266666666677</v>
      </c>
      <c r="D5" s="8">
        <v>58936.666666666672</v>
      </c>
      <c r="E5" s="3">
        <f t="shared" si="0"/>
        <v>179934.80000000002</v>
      </c>
      <c r="F5" s="8">
        <v>61019.866666666669</v>
      </c>
      <c r="G5" s="8">
        <v>61019.866666666669</v>
      </c>
      <c r="H5" s="8">
        <v>57895.066666666666</v>
      </c>
      <c r="I5" s="3">
        <f t="shared" si="1"/>
        <v>179934.8</v>
      </c>
      <c r="J5" s="8">
        <v>45876.133333333331</v>
      </c>
      <c r="K5" s="8">
        <v>43792.933333333334</v>
      </c>
      <c r="L5" s="8">
        <v>43792.933333333334</v>
      </c>
      <c r="M5" s="3">
        <f t="shared" si="2"/>
        <v>133462</v>
      </c>
      <c r="N5" s="8">
        <v>45876.133333333331</v>
      </c>
      <c r="O5" s="8">
        <v>43792.933333333334</v>
      </c>
      <c r="P5" s="8">
        <v>41709.733333333337</v>
      </c>
      <c r="Q5" s="3">
        <f t="shared" si="3"/>
        <v>131378.79999999999</v>
      </c>
      <c r="R5" s="23"/>
      <c r="T5" s="5"/>
      <c r="U5" s="61" t="str">
        <f t="shared" si="4"/>
        <v>Andmekorr</v>
      </c>
      <c r="V5" s="62">
        <f>IFERROR(VLOOKUP(U5,'Investeeringute kirjeldus'!$A$3:$R$37,9,FALSE),0)</f>
        <v>0</v>
      </c>
      <c r="W5" s="64"/>
      <c r="Z5" s="64"/>
      <c r="AC5" s="64"/>
    </row>
    <row r="6" spans="1:29" ht="15.9" customHeight="1">
      <c r="A6" s="4" t="s">
        <v>38</v>
      </c>
      <c r="B6" s="9">
        <v>5978</v>
      </c>
      <c r="C6" s="9">
        <v>5978</v>
      </c>
      <c r="D6" s="9">
        <v>5978</v>
      </c>
      <c r="E6" s="5">
        <f t="shared" si="0"/>
        <v>17934</v>
      </c>
      <c r="F6" s="9">
        <v>5978</v>
      </c>
      <c r="G6" s="9">
        <v>5978</v>
      </c>
      <c r="H6" s="9">
        <v>5978</v>
      </c>
      <c r="I6" s="5">
        <f t="shared" si="1"/>
        <v>17934</v>
      </c>
      <c r="J6" s="9">
        <v>0</v>
      </c>
      <c r="K6" s="9">
        <v>0</v>
      </c>
      <c r="L6" s="9">
        <v>0</v>
      </c>
      <c r="M6" s="5">
        <f t="shared" si="2"/>
        <v>0</v>
      </c>
      <c r="N6" s="9">
        <v>0</v>
      </c>
      <c r="O6" s="9">
        <v>0</v>
      </c>
      <c r="P6" s="9">
        <v>0</v>
      </c>
      <c r="Q6" s="5">
        <f t="shared" si="3"/>
        <v>0</v>
      </c>
      <c r="R6" s="24"/>
      <c r="T6" s="5">
        <f t="shared" ref="T6:T63" si="5">E6+I6+M6+Q6</f>
        <v>35868</v>
      </c>
      <c r="U6" s="61" t="str">
        <f t="shared" si="4"/>
        <v>PROJ-3500</v>
      </c>
      <c r="V6" s="62">
        <f>IFERROR(VLOOKUP(U6,'Investeeringute kirjeldus'!$A$3:$R$37,9,FALSE),0)</f>
        <v>35868</v>
      </c>
      <c r="W6" s="64">
        <f t="shared" ref="W6:W66" si="6">T6-V6</f>
        <v>0</v>
      </c>
      <c r="X6" s="5">
        <f>E6+I6</f>
        <v>35868</v>
      </c>
      <c r="Y6" s="1">
        <f>IFERROR(VLOOKUP(U6,'Investeeringute kirjeldus'!$A$3:$R$37,14,FALSE),0)</f>
        <v>35868</v>
      </c>
      <c r="Z6" s="64">
        <f>X6-Y6</f>
        <v>0</v>
      </c>
      <c r="AA6" s="5">
        <f>M6+Q6</f>
        <v>0</v>
      </c>
      <c r="AB6" s="1">
        <f>IFERROR(VLOOKUP(U6,'Investeeringute kirjeldus'!$A$3:$R$37,15,FALSE),0)</f>
        <v>0</v>
      </c>
      <c r="AC6" s="64">
        <f>AA6-AB6</f>
        <v>0</v>
      </c>
    </row>
    <row r="7" spans="1:29" ht="15.9" customHeight="1">
      <c r="A7" s="4" t="s">
        <v>61</v>
      </c>
      <c r="B7" s="9">
        <v>8133.3333333333348</v>
      </c>
      <c r="C7" s="9">
        <v>8133.3333333333348</v>
      </c>
      <c r="D7" s="9">
        <v>8133.3333333333348</v>
      </c>
      <c r="E7" s="5">
        <f t="shared" si="0"/>
        <v>24400.000000000004</v>
      </c>
      <c r="F7" s="9">
        <v>8133.3333333333348</v>
      </c>
      <c r="G7" s="9">
        <v>8133.3333333333348</v>
      </c>
      <c r="H7" s="9">
        <v>8133.3333333333348</v>
      </c>
      <c r="I7" s="5">
        <f t="shared" si="1"/>
        <v>24400.000000000004</v>
      </c>
      <c r="J7" s="9">
        <v>0</v>
      </c>
      <c r="K7" s="9">
        <v>0</v>
      </c>
      <c r="L7" s="9">
        <v>0</v>
      </c>
      <c r="M7" s="5">
        <f t="shared" si="2"/>
        <v>0</v>
      </c>
      <c r="N7" s="9">
        <v>0</v>
      </c>
      <c r="O7" s="9">
        <v>0</v>
      </c>
      <c r="P7" s="9">
        <v>0</v>
      </c>
      <c r="Q7" s="5">
        <f t="shared" si="3"/>
        <v>0</v>
      </c>
      <c r="R7" s="24"/>
      <c r="T7" s="5">
        <f t="shared" si="5"/>
        <v>48800.000000000007</v>
      </c>
      <c r="U7" s="61" t="str">
        <f t="shared" si="4"/>
        <v>PROJ-3571</v>
      </c>
      <c r="V7" s="62">
        <f>IFERROR(VLOOKUP(U7,'Investeeringute kirjeldus'!$A$3:$R$37,9,FALSE),0)</f>
        <v>48800</v>
      </c>
      <c r="W7" s="64">
        <f t="shared" si="6"/>
        <v>0</v>
      </c>
      <c r="X7" s="5">
        <f>E7+I7</f>
        <v>48800.000000000007</v>
      </c>
      <c r="Y7" s="1">
        <f>IFERROR(VLOOKUP(U7,'Investeeringute kirjeldus'!$A$3:$R$37,14,FALSE),0)</f>
        <v>48800</v>
      </c>
      <c r="Z7" s="64">
        <f t="shared" ref="Z7:Z9" si="7">X7-Y7</f>
        <v>0</v>
      </c>
      <c r="AA7" s="5">
        <f t="shared" ref="AA7:AA9" si="8">M7+Q7</f>
        <v>0</v>
      </c>
      <c r="AB7" s="1">
        <f>IFERROR(VLOOKUP(U7,'Investeeringute kirjeldus'!$A$3:$R$37,15,FALSE),0)</f>
        <v>0</v>
      </c>
      <c r="AC7" s="64">
        <f t="shared" ref="AC7:AC9" si="9">AA7-AB7</f>
        <v>0</v>
      </c>
    </row>
    <row r="8" spans="1:29" ht="15.9" customHeight="1">
      <c r="A8" s="4" t="s">
        <v>62</v>
      </c>
      <c r="B8" s="9">
        <v>4066.6666666666674</v>
      </c>
      <c r="C8" s="9">
        <v>4066.6666666666674</v>
      </c>
      <c r="D8" s="9">
        <v>4066.6666666666674</v>
      </c>
      <c r="E8" s="5">
        <f t="shared" si="0"/>
        <v>12200.000000000002</v>
      </c>
      <c r="F8" s="9">
        <v>4066.6666666666674</v>
      </c>
      <c r="G8" s="9">
        <v>4066.6666666666674</v>
      </c>
      <c r="H8" s="9">
        <v>4066.6666666666674</v>
      </c>
      <c r="I8" s="5">
        <f t="shared" si="1"/>
        <v>12200.000000000002</v>
      </c>
      <c r="J8" s="9">
        <v>0</v>
      </c>
      <c r="K8" s="9">
        <v>0</v>
      </c>
      <c r="L8" s="9">
        <v>0</v>
      </c>
      <c r="M8" s="5">
        <f t="shared" si="2"/>
        <v>0</v>
      </c>
      <c r="N8" s="9">
        <v>0</v>
      </c>
      <c r="O8" s="9">
        <v>0</v>
      </c>
      <c r="P8" s="9">
        <v>0</v>
      </c>
      <c r="Q8" s="5">
        <f t="shared" si="3"/>
        <v>0</v>
      </c>
      <c r="R8" s="24"/>
      <c r="T8" s="5">
        <f t="shared" si="5"/>
        <v>24400.000000000004</v>
      </c>
      <c r="U8" s="61" t="str">
        <f t="shared" si="4"/>
        <v>PROJ-3572</v>
      </c>
      <c r="V8" s="62">
        <f>IFERROR(VLOOKUP(U8,'Investeeringute kirjeldus'!$A$3:$R$37,9,FALSE),0)</f>
        <v>24400</v>
      </c>
      <c r="W8" s="64">
        <f t="shared" si="6"/>
        <v>0</v>
      </c>
      <c r="X8" s="5">
        <f>E8+I8</f>
        <v>24400.000000000004</v>
      </c>
      <c r="Y8" s="1">
        <f>IFERROR(VLOOKUP(U8,'Investeeringute kirjeldus'!$A$3:$R$37,14,FALSE),0)</f>
        <v>24400</v>
      </c>
      <c r="Z8" s="64">
        <f t="shared" si="7"/>
        <v>0</v>
      </c>
      <c r="AA8" s="5">
        <f t="shared" si="8"/>
        <v>0</v>
      </c>
      <c r="AB8" s="1">
        <f>IFERROR(VLOOKUP(U8,'Investeeringute kirjeldus'!$A$3:$R$37,15,FALSE),0)</f>
        <v>0</v>
      </c>
      <c r="AC8" s="64">
        <f t="shared" si="9"/>
        <v>0</v>
      </c>
    </row>
    <row r="9" spans="1:29" ht="15.9" customHeight="1">
      <c r="A9" s="4" t="s">
        <v>39</v>
      </c>
      <c r="B9" s="9">
        <v>19926.666666666668</v>
      </c>
      <c r="C9" s="9">
        <v>19926.666666666668</v>
      </c>
      <c r="D9" s="9">
        <v>19926.666666666668</v>
      </c>
      <c r="E9" s="5">
        <f t="shared" si="0"/>
        <v>59780</v>
      </c>
      <c r="F9" s="9">
        <v>19926.666666666668</v>
      </c>
      <c r="G9" s="9">
        <v>19926.666666666668</v>
      </c>
      <c r="H9" s="9">
        <v>19926.666666666668</v>
      </c>
      <c r="I9" s="5">
        <f t="shared" si="1"/>
        <v>59780</v>
      </c>
      <c r="J9" s="9">
        <v>21919.333333333336</v>
      </c>
      <c r="K9" s="9">
        <v>21919.333333333336</v>
      </c>
      <c r="L9" s="9">
        <v>21919.333333333336</v>
      </c>
      <c r="M9" s="5">
        <f t="shared" si="2"/>
        <v>65758</v>
      </c>
      <c r="N9" s="9">
        <v>21919.333333333336</v>
      </c>
      <c r="O9" s="9">
        <v>21919.333333333336</v>
      </c>
      <c r="P9" s="9">
        <v>21919.333333333336</v>
      </c>
      <c r="Q9" s="5">
        <f t="shared" si="3"/>
        <v>65758</v>
      </c>
      <c r="R9" s="24"/>
      <c r="T9" s="5">
        <f t="shared" si="5"/>
        <v>251076</v>
      </c>
      <c r="U9" s="61" t="str">
        <f t="shared" si="4"/>
        <v>PROJ-3873</v>
      </c>
      <c r="V9" s="62">
        <f>IFERROR(VLOOKUP(U9,'Investeeringute kirjeldus'!$A$3:$R$37,9,FALSE),0)</f>
        <v>251076</v>
      </c>
      <c r="W9" s="64">
        <f t="shared" si="6"/>
        <v>0</v>
      </c>
      <c r="X9" s="5">
        <f>E9+I9</f>
        <v>119560</v>
      </c>
      <c r="Y9" s="1">
        <f>IFERROR(VLOOKUP(U9,'Investeeringute kirjeldus'!$A$3:$R$37,14,FALSE),0)</f>
        <v>119560</v>
      </c>
      <c r="Z9" s="64">
        <f t="shared" si="7"/>
        <v>0</v>
      </c>
      <c r="AA9" s="5">
        <f t="shared" si="8"/>
        <v>131516</v>
      </c>
      <c r="AB9" s="1">
        <f>IFERROR(VLOOKUP(U9,'Investeeringute kirjeldus'!$A$3:$R$37,15,FALSE),0)</f>
        <v>131516</v>
      </c>
      <c r="AC9" s="64">
        <f t="shared" si="9"/>
        <v>0</v>
      </c>
    </row>
    <row r="10" spans="1:29" ht="15.9" customHeight="1">
      <c r="A10" s="4" t="s">
        <v>54</v>
      </c>
      <c r="B10" s="9">
        <v>22915.200000000001</v>
      </c>
      <c r="C10" s="9">
        <v>21873.600000000002</v>
      </c>
      <c r="D10" s="9">
        <v>20832</v>
      </c>
      <c r="E10" s="5">
        <f t="shared" si="0"/>
        <v>65620.800000000003</v>
      </c>
      <c r="F10" s="9">
        <v>22915.200000000001</v>
      </c>
      <c r="G10" s="9">
        <v>22915.200000000001</v>
      </c>
      <c r="H10" s="9">
        <v>19790.399999999998</v>
      </c>
      <c r="I10" s="5">
        <f t="shared" si="1"/>
        <v>65620.800000000003</v>
      </c>
      <c r="J10" s="9">
        <v>23956.799999999999</v>
      </c>
      <c r="K10" s="9">
        <v>21873.600000000002</v>
      </c>
      <c r="L10" s="9">
        <v>21873.600000000002</v>
      </c>
      <c r="M10" s="5">
        <f t="shared" si="2"/>
        <v>67704</v>
      </c>
      <c r="N10" s="9">
        <v>23956.799999999999</v>
      </c>
      <c r="O10" s="9">
        <v>21873.600000000002</v>
      </c>
      <c r="P10" s="9">
        <v>19790.399999999998</v>
      </c>
      <c r="Q10" s="5">
        <f t="shared" si="3"/>
        <v>65620.800000000003</v>
      </c>
      <c r="R10" s="24"/>
      <c r="T10" s="5"/>
      <c r="U10" s="61" t="str">
        <f t="shared" si="4"/>
        <v>Tööjõukul</v>
      </c>
      <c r="V10" s="62">
        <f>IFERROR(VLOOKUP(U10,'Investeeringute kirjeldus'!$A$3:$R$37,9,FALSE),0)</f>
        <v>0</v>
      </c>
      <c r="W10" s="64"/>
      <c r="Z10" s="64"/>
      <c r="AC10" s="64"/>
    </row>
    <row r="11" spans="1:29" ht="15.9" customHeight="1">
      <c r="A11" s="2" t="s">
        <v>40</v>
      </c>
      <c r="B11" s="8">
        <v>5565.12</v>
      </c>
      <c r="C11" s="8">
        <v>5312.1599999999989</v>
      </c>
      <c r="D11" s="8">
        <v>5059.2</v>
      </c>
      <c r="E11" s="3">
        <f t="shared" si="0"/>
        <v>15936.48</v>
      </c>
      <c r="F11" s="8">
        <v>5565.12</v>
      </c>
      <c r="G11" s="8">
        <v>5565.12</v>
      </c>
      <c r="H11" s="8">
        <v>4806.24</v>
      </c>
      <c r="I11" s="3">
        <f t="shared" si="1"/>
        <v>15936.48</v>
      </c>
      <c r="J11" s="8">
        <v>5818.08</v>
      </c>
      <c r="K11" s="8">
        <v>5312.1599999999989</v>
      </c>
      <c r="L11" s="8">
        <v>5312.1599999999989</v>
      </c>
      <c r="M11" s="3">
        <f t="shared" si="2"/>
        <v>16442.399999999998</v>
      </c>
      <c r="N11" s="8">
        <v>5818.08</v>
      </c>
      <c r="O11" s="8">
        <v>5312.1599999999989</v>
      </c>
      <c r="P11" s="8">
        <v>4806.24</v>
      </c>
      <c r="Q11" s="3">
        <f t="shared" si="3"/>
        <v>15936.479999999998</v>
      </c>
      <c r="R11" s="23"/>
      <c r="T11" s="5"/>
      <c r="U11" s="61" t="str">
        <f t="shared" si="4"/>
        <v>Andmekorr</v>
      </c>
      <c r="V11" s="62">
        <f>IFERROR(VLOOKUP(U11,'Investeeringute kirjeldus'!$A$3:$R$37,9,FALSE),0)</f>
        <v>0</v>
      </c>
      <c r="W11" s="64"/>
      <c r="Z11" s="64"/>
      <c r="AC11" s="64"/>
    </row>
    <row r="12" spans="1:29" ht="15.9" customHeight="1">
      <c r="A12" s="4" t="s">
        <v>54</v>
      </c>
      <c r="B12" s="9">
        <v>5565.12</v>
      </c>
      <c r="C12" s="9">
        <v>5312.1599999999989</v>
      </c>
      <c r="D12" s="9">
        <v>5059.2</v>
      </c>
      <c r="E12" s="5">
        <f t="shared" si="0"/>
        <v>15936.48</v>
      </c>
      <c r="F12" s="9">
        <v>5565.12</v>
      </c>
      <c r="G12" s="9">
        <v>5565.12</v>
      </c>
      <c r="H12" s="9">
        <v>4806.24</v>
      </c>
      <c r="I12" s="5">
        <f t="shared" si="1"/>
        <v>15936.48</v>
      </c>
      <c r="J12" s="9">
        <v>5818.08</v>
      </c>
      <c r="K12" s="9">
        <v>5312.1599999999989</v>
      </c>
      <c r="L12" s="9">
        <v>5312.1599999999989</v>
      </c>
      <c r="M12" s="5">
        <f t="shared" si="2"/>
        <v>16442.399999999998</v>
      </c>
      <c r="N12" s="9">
        <v>5818.08</v>
      </c>
      <c r="O12" s="9">
        <v>5312.1599999999989</v>
      </c>
      <c r="P12" s="9">
        <v>4806.24</v>
      </c>
      <c r="Q12" s="5">
        <f t="shared" si="3"/>
        <v>15936.479999999998</v>
      </c>
      <c r="R12" s="24"/>
      <c r="T12" s="5"/>
      <c r="U12" s="61" t="str">
        <f t="shared" si="4"/>
        <v>Tööjõukul</v>
      </c>
      <c r="V12" s="62">
        <f>IFERROR(VLOOKUP(U12,'Investeeringute kirjeldus'!$A$3:$R$37,9,FALSE),0)</f>
        <v>0</v>
      </c>
      <c r="W12" s="64"/>
      <c r="Z12" s="64"/>
      <c r="AC12" s="64"/>
    </row>
    <row r="13" spans="1:29" ht="15.9" customHeight="1">
      <c r="A13" s="2" t="s">
        <v>41</v>
      </c>
      <c r="B13" s="8">
        <v>9820.7999999999993</v>
      </c>
      <c r="C13" s="8">
        <v>9374.4000000000015</v>
      </c>
      <c r="D13" s="8">
        <v>8928</v>
      </c>
      <c r="E13" s="3">
        <f t="shared" si="0"/>
        <v>28123.200000000001</v>
      </c>
      <c r="F13" s="8">
        <v>9820.7999999999993</v>
      </c>
      <c r="G13" s="8">
        <v>9820.7999999999993</v>
      </c>
      <c r="H13" s="8">
        <v>8481.5999999999985</v>
      </c>
      <c r="I13" s="3">
        <f t="shared" si="1"/>
        <v>28123.199999999997</v>
      </c>
      <c r="J13" s="8">
        <v>10267.199999999999</v>
      </c>
      <c r="K13" s="8">
        <v>9374.4000000000015</v>
      </c>
      <c r="L13" s="8">
        <v>9374.4000000000015</v>
      </c>
      <c r="M13" s="3">
        <f t="shared" si="2"/>
        <v>29016</v>
      </c>
      <c r="N13" s="8">
        <v>10267.199999999999</v>
      </c>
      <c r="O13" s="8">
        <v>9374.4000000000015</v>
      </c>
      <c r="P13" s="8">
        <v>8481.5999999999985</v>
      </c>
      <c r="Q13" s="3">
        <f t="shared" si="3"/>
        <v>28123.199999999997</v>
      </c>
      <c r="R13" s="23"/>
      <c r="T13" s="5"/>
      <c r="U13" s="61" t="str">
        <f t="shared" si="4"/>
        <v>Andmekorr</v>
      </c>
      <c r="V13" s="62">
        <f>IFERROR(VLOOKUP(U13,'Investeeringute kirjeldus'!$A$3:$R$37,9,FALSE),0)</f>
        <v>0</v>
      </c>
      <c r="W13" s="64"/>
      <c r="Z13" s="64"/>
      <c r="AC13" s="64"/>
    </row>
    <row r="14" spans="1:29" ht="15.9" customHeight="1">
      <c r="A14" s="4" t="s">
        <v>54</v>
      </c>
      <c r="B14" s="9">
        <v>9820.7999999999993</v>
      </c>
      <c r="C14" s="9">
        <v>9374.4000000000015</v>
      </c>
      <c r="D14" s="9">
        <v>8928</v>
      </c>
      <c r="E14" s="5">
        <f t="shared" si="0"/>
        <v>28123.200000000001</v>
      </c>
      <c r="F14" s="9">
        <v>9820.7999999999993</v>
      </c>
      <c r="G14" s="9">
        <v>9820.7999999999993</v>
      </c>
      <c r="H14" s="9">
        <v>8481.5999999999985</v>
      </c>
      <c r="I14" s="5">
        <f t="shared" si="1"/>
        <v>28123.199999999997</v>
      </c>
      <c r="J14" s="9">
        <v>10267.199999999999</v>
      </c>
      <c r="K14" s="9">
        <v>9374.4000000000015</v>
      </c>
      <c r="L14" s="9">
        <v>9374.4000000000015</v>
      </c>
      <c r="M14" s="5">
        <f t="shared" si="2"/>
        <v>29016</v>
      </c>
      <c r="N14" s="9">
        <v>10267.199999999999</v>
      </c>
      <c r="O14" s="9">
        <v>9374.4000000000015</v>
      </c>
      <c r="P14" s="9">
        <v>8481.5999999999985</v>
      </c>
      <c r="Q14" s="5">
        <f t="shared" si="3"/>
        <v>28123.199999999997</v>
      </c>
      <c r="R14" s="24"/>
      <c r="T14" s="5"/>
      <c r="U14" s="61" t="str">
        <f t="shared" si="4"/>
        <v>Tööjõukul</v>
      </c>
      <c r="V14" s="62">
        <f>IFERROR(VLOOKUP(U14,'Investeeringute kirjeldus'!$A$3:$R$37,9,FALSE),0)</f>
        <v>0</v>
      </c>
      <c r="W14" s="64"/>
      <c r="Z14" s="64"/>
      <c r="AC14" s="64"/>
    </row>
    <row r="15" spans="1:29" ht="15.9" customHeight="1">
      <c r="A15" s="2" t="s">
        <v>42</v>
      </c>
      <c r="B15" s="8">
        <v>3928.3199999999997</v>
      </c>
      <c r="C15" s="8">
        <v>3749.76</v>
      </c>
      <c r="D15" s="8">
        <v>3571.2</v>
      </c>
      <c r="E15" s="3">
        <f t="shared" si="0"/>
        <v>11249.279999999999</v>
      </c>
      <c r="F15" s="8">
        <v>3928.3199999999997</v>
      </c>
      <c r="G15" s="8">
        <v>3928.3199999999997</v>
      </c>
      <c r="H15" s="8">
        <v>3392.64</v>
      </c>
      <c r="I15" s="3">
        <f t="shared" si="1"/>
        <v>11249.279999999999</v>
      </c>
      <c r="J15" s="8">
        <v>4106.88</v>
      </c>
      <c r="K15" s="8">
        <v>3749.76</v>
      </c>
      <c r="L15" s="8">
        <v>3749.76</v>
      </c>
      <c r="M15" s="3">
        <f t="shared" si="2"/>
        <v>11606.400000000001</v>
      </c>
      <c r="N15" s="8">
        <v>4106.88</v>
      </c>
      <c r="O15" s="8">
        <v>3749.76</v>
      </c>
      <c r="P15" s="8">
        <v>3392.64</v>
      </c>
      <c r="Q15" s="3">
        <f t="shared" si="3"/>
        <v>11249.28</v>
      </c>
      <c r="R15" s="23"/>
      <c r="T15" s="5"/>
      <c r="U15" s="61" t="str">
        <f t="shared" si="4"/>
        <v>Eluanamne</v>
      </c>
      <c r="V15" s="62">
        <f>IFERROR(VLOOKUP(U15,'Investeeringute kirjeldus'!$A$3:$R$37,9,FALSE),0)</f>
        <v>0</v>
      </c>
      <c r="W15" s="64"/>
      <c r="Z15" s="64"/>
      <c r="AC15" s="64"/>
    </row>
    <row r="16" spans="1:29" ht="15.9" customHeight="1">
      <c r="A16" s="4" t="s">
        <v>54</v>
      </c>
      <c r="B16" s="9">
        <v>3928.3199999999997</v>
      </c>
      <c r="C16" s="9">
        <v>3749.76</v>
      </c>
      <c r="D16" s="9">
        <v>3571.2</v>
      </c>
      <c r="E16" s="5">
        <f t="shared" si="0"/>
        <v>11249.279999999999</v>
      </c>
      <c r="F16" s="9">
        <v>3928.3199999999997</v>
      </c>
      <c r="G16" s="9">
        <v>3928.3199999999997</v>
      </c>
      <c r="H16" s="9">
        <v>3392.64</v>
      </c>
      <c r="I16" s="5">
        <f t="shared" si="1"/>
        <v>11249.279999999999</v>
      </c>
      <c r="J16" s="9">
        <v>4106.88</v>
      </c>
      <c r="K16" s="9">
        <v>3749.76</v>
      </c>
      <c r="L16" s="9">
        <v>3749.76</v>
      </c>
      <c r="M16" s="5">
        <f t="shared" si="2"/>
        <v>11606.400000000001</v>
      </c>
      <c r="N16" s="9">
        <v>4106.88</v>
      </c>
      <c r="O16" s="9">
        <v>3749.76</v>
      </c>
      <c r="P16" s="9">
        <v>3392.64</v>
      </c>
      <c r="Q16" s="5">
        <f t="shared" si="3"/>
        <v>11249.28</v>
      </c>
      <c r="R16" s="24"/>
      <c r="T16" s="5"/>
      <c r="U16" s="61" t="str">
        <f t="shared" si="4"/>
        <v>Tööjõukul</v>
      </c>
      <c r="V16" s="62">
        <f>IFERROR(VLOOKUP(U16,'Investeeringute kirjeldus'!$A$3:$R$37,9,FALSE),0)</f>
        <v>0</v>
      </c>
      <c r="W16" s="64"/>
      <c r="Z16" s="64"/>
      <c r="AC16" s="64"/>
    </row>
    <row r="17" spans="1:29" ht="15.9" customHeight="1">
      <c r="A17" s="2" t="s">
        <v>43</v>
      </c>
      <c r="B17" s="8">
        <v>0</v>
      </c>
      <c r="C17" s="8">
        <v>0</v>
      </c>
      <c r="D17" s="8">
        <v>0</v>
      </c>
      <c r="E17" s="3">
        <f t="shared" si="0"/>
        <v>0</v>
      </c>
      <c r="F17" s="8">
        <v>0</v>
      </c>
      <c r="G17" s="8">
        <v>0</v>
      </c>
      <c r="H17" s="8">
        <v>0</v>
      </c>
      <c r="I17" s="3">
        <f t="shared" si="1"/>
        <v>0</v>
      </c>
      <c r="J17" s="8">
        <v>0</v>
      </c>
      <c r="K17" s="8">
        <v>0</v>
      </c>
      <c r="L17" s="8">
        <v>0</v>
      </c>
      <c r="M17" s="3">
        <f t="shared" si="2"/>
        <v>0</v>
      </c>
      <c r="N17" s="8">
        <v>0</v>
      </c>
      <c r="O17" s="8">
        <v>0</v>
      </c>
      <c r="P17" s="8">
        <v>0</v>
      </c>
      <c r="Q17" s="3">
        <f t="shared" si="3"/>
        <v>0</v>
      </c>
      <c r="R17" s="23"/>
      <c r="T17" s="5"/>
      <c r="U17" s="61" t="str">
        <f t="shared" si="4"/>
        <v>Kliinilis</v>
      </c>
      <c r="V17" s="62">
        <f>IFERROR(VLOOKUP(U17,'Investeeringute kirjeldus'!$A$3:$R$37,9,FALSE),0)</f>
        <v>0</v>
      </c>
      <c r="W17" s="64"/>
      <c r="Z17" s="64"/>
      <c r="AC17" s="64"/>
    </row>
    <row r="18" spans="1:29" ht="15.9" customHeight="1">
      <c r="A18" s="4" t="s">
        <v>35</v>
      </c>
      <c r="B18" s="9">
        <v>0</v>
      </c>
      <c r="C18" s="9">
        <v>0</v>
      </c>
      <c r="D18" s="9">
        <v>0</v>
      </c>
      <c r="E18" s="5">
        <f t="shared" si="0"/>
        <v>0</v>
      </c>
      <c r="F18" s="9">
        <v>0</v>
      </c>
      <c r="G18" s="9">
        <v>0</v>
      </c>
      <c r="H18" s="9">
        <v>0</v>
      </c>
      <c r="I18" s="5">
        <f t="shared" si="1"/>
        <v>0</v>
      </c>
      <c r="J18" s="9">
        <v>0</v>
      </c>
      <c r="K18" s="9">
        <v>0</v>
      </c>
      <c r="L18" s="9">
        <v>0</v>
      </c>
      <c r="M18" s="5">
        <f t="shared" si="2"/>
        <v>0</v>
      </c>
      <c r="N18" s="9">
        <v>0</v>
      </c>
      <c r="O18" s="9">
        <v>0</v>
      </c>
      <c r="P18" s="9">
        <v>0</v>
      </c>
      <c r="Q18" s="5">
        <f t="shared" si="3"/>
        <v>0</v>
      </c>
      <c r="R18" s="24" t="s">
        <v>65</v>
      </c>
      <c r="T18" s="5">
        <f t="shared" si="5"/>
        <v>0</v>
      </c>
      <c r="U18" s="61" t="str">
        <f t="shared" si="4"/>
        <v>PROJ-3816</v>
      </c>
      <c r="V18" s="62">
        <f>IFERROR(VLOOKUP(U18,'Investeeringute kirjeldus'!$A$3:$R$37,9,FALSE),0)</f>
        <v>0</v>
      </c>
      <c r="W18" s="64">
        <f t="shared" si="6"/>
        <v>0</v>
      </c>
      <c r="Z18" s="64">
        <f t="shared" ref="Z18:Z35" si="10">W18-Y18</f>
        <v>0</v>
      </c>
      <c r="AC18" s="64">
        <f t="shared" ref="AC18" si="11">Z18-AB18</f>
        <v>0</v>
      </c>
    </row>
    <row r="19" spans="1:29" ht="15.9" customHeight="1">
      <c r="A19" s="2" t="s">
        <v>44</v>
      </c>
      <c r="B19" s="8">
        <v>7251.2</v>
      </c>
      <c r="C19" s="8">
        <v>6921.6</v>
      </c>
      <c r="D19" s="8">
        <v>6592</v>
      </c>
      <c r="E19" s="3">
        <f t="shared" si="0"/>
        <v>20764.8</v>
      </c>
      <c r="F19" s="8">
        <v>7251.2</v>
      </c>
      <c r="G19" s="8">
        <v>7251.2</v>
      </c>
      <c r="H19" s="8">
        <v>6262.4</v>
      </c>
      <c r="I19" s="3">
        <f t="shared" si="1"/>
        <v>20764.8</v>
      </c>
      <c r="J19" s="8">
        <v>7580.7999999999993</v>
      </c>
      <c r="K19" s="8">
        <v>6921.6</v>
      </c>
      <c r="L19" s="8">
        <v>6921.6</v>
      </c>
      <c r="M19" s="3">
        <f t="shared" si="2"/>
        <v>21424</v>
      </c>
      <c r="N19" s="8">
        <v>7580.7999999999993</v>
      </c>
      <c r="O19" s="8">
        <v>6921.6</v>
      </c>
      <c r="P19" s="8">
        <v>6262.4</v>
      </c>
      <c r="Q19" s="3">
        <f t="shared" si="3"/>
        <v>20764.8</v>
      </c>
      <c r="R19" s="23"/>
      <c r="T19" s="5"/>
      <c r="U19" s="61" t="str">
        <f t="shared" si="4"/>
        <v>Registrid</v>
      </c>
      <c r="V19" s="62">
        <f>IFERROR(VLOOKUP(U19,'Investeeringute kirjeldus'!$A$3:$R$37,9,FALSE),0)</f>
        <v>0</v>
      </c>
      <c r="W19" s="64"/>
      <c r="Z19" s="64"/>
      <c r="AC19" s="64"/>
    </row>
    <row r="20" spans="1:29" ht="15.9" customHeight="1">
      <c r="A20" s="4" t="s">
        <v>32</v>
      </c>
      <c r="B20" s="9">
        <v>0</v>
      </c>
      <c r="C20" s="9">
        <v>0</v>
      </c>
      <c r="D20" s="9">
        <v>0</v>
      </c>
      <c r="E20" s="5">
        <f t="shared" si="0"/>
        <v>0</v>
      </c>
      <c r="F20" s="9">
        <v>0</v>
      </c>
      <c r="G20" s="9">
        <v>0</v>
      </c>
      <c r="H20" s="9">
        <v>0</v>
      </c>
      <c r="I20" s="5">
        <f t="shared" si="1"/>
        <v>0</v>
      </c>
      <c r="J20" s="9">
        <v>0</v>
      </c>
      <c r="K20" s="9">
        <v>0</v>
      </c>
      <c r="L20" s="9">
        <v>0</v>
      </c>
      <c r="M20" s="5">
        <f t="shared" si="2"/>
        <v>0</v>
      </c>
      <c r="N20" s="9">
        <v>0</v>
      </c>
      <c r="O20" s="9">
        <v>0</v>
      </c>
      <c r="P20" s="9">
        <v>0</v>
      </c>
      <c r="Q20" s="5">
        <f t="shared" si="3"/>
        <v>0</v>
      </c>
      <c r="R20" s="24" t="s">
        <v>65</v>
      </c>
      <c r="T20" s="5">
        <f t="shared" si="5"/>
        <v>0</v>
      </c>
      <c r="U20" s="61" t="str">
        <f t="shared" si="4"/>
        <v>PROJ-3618</v>
      </c>
      <c r="V20" s="62">
        <f>IFERROR(VLOOKUP(U20,'Investeeringute kirjeldus'!$A$3:$R$37,9,FALSE),0)</f>
        <v>0</v>
      </c>
      <c r="W20" s="64">
        <f t="shared" si="6"/>
        <v>0</v>
      </c>
      <c r="Z20" s="64">
        <f t="shared" si="10"/>
        <v>0</v>
      </c>
      <c r="AC20" s="64">
        <f t="shared" ref="AC20:AC21" si="12">Z20-AB20</f>
        <v>0</v>
      </c>
    </row>
    <row r="21" spans="1:29" ht="15.9" customHeight="1">
      <c r="A21" s="4" t="s">
        <v>33</v>
      </c>
      <c r="B21" s="9">
        <v>0</v>
      </c>
      <c r="C21" s="9">
        <v>0</v>
      </c>
      <c r="D21" s="9">
        <v>0</v>
      </c>
      <c r="E21" s="5">
        <f t="shared" si="0"/>
        <v>0</v>
      </c>
      <c r="F21" s="9">
        <v>0</v>
      </c>
      <c r="G21" s="9">
        <v>0</v>
      </c>
      <c r="H21" s="9">
        <v>0</v>
      </c>
      <c r="I21" s="5">
        <f t="shared" si="1"/>
        <v>0</v>
      </c>
      <c r="J21" s="9">
        <v>0</v>
      </c>
      <c r="K21" s="9">
        <v>0</v>
      </c>
      <c r="L21" s="9">
        <v>0</v>
      </c>
      <c r="M21" s="5">
        <f t="shared" si="2"/>
        <v>0</v>
      </c>
      <c r="N21" s="9">
        <v>0</v>
      </c>
      <c r="O21" s="9">
        <v>0</v>
      </c>
      <c r="P21" s="9">
        <v>0</v>
      </c>
      <c r="Q21" s="5">
        <f t="shared" si="3"/>
        <v>0</v>
      </c>
      <c r="R21" s="24" t="s">
        <v>65</v>
      </c>
      <c r="T21" s="5">
        <f t="shared" si="5"/>
        <v>0</v>
      </c>
      <c r="U21" s="61" t="str">
        <f t="shared" si="4"/>
        <v>PROJ-3619</v>
      </c>
      <c r="V21" s="62">
        <f>IFERROR(VLOOKUP(U21,'Investeeringute kirjeldus'!$A$3:$R$37,9,FALSE),0)</f>
        <v>0</v>
      </c>
      <c r="W21" s="64">
        <f t="shared" si="6"/>
        <v>0</v>
      </c>
      <c r="Z21" s="64">
        <f t="shared" si="10"/>
        <v>0</v>
      </c>
      <c r="AC21" s="64">
        <f t="shared" si="12"/>
        <v>0</v>
      </c>
    </row>
    <row r="22" spans="1:29" ht="15.9" customHeight="1">
      <c r="A22" s="4" t="s">
        <v>54</v>
      </c>
      <c r="B22" s="9">
        <v>7251.2</v>
      </c>
      <c r="C22" s="9">
        <v>6921.6</v>
      </c>
      <c r="D22" s="9">
        <v>6592</v>
      </c>
      <c r="E22" s="5">
        <f t="shared" si="0"/>
        <v>20764.8</v>
      </c>
      <c r="F22" s="9">
        <v>7251.2</v>
      </c>
      <c r="G22" s="9">
        <v>7251.2</v>
      </c>
      <c r="H22" s="9">
        <v>6262.4</v>
      </c>
      <c r="I22" s="5">
        <f t="shared" si="1"/>
        <v>20764.8</v>
      </c>
      <c r="J22" s="9">
        <v>7580.7999999999993</v>
      </c>
      <c r="K22" s="9">
        <v>6921.6</v>
      </c>
      <c r="L22" s="9">
        <v>6921.6</v>
      </c>
      <c r="M22" s="5">
        <f t="shared" si="2"/>
        <v>21424</v>
      </c>
      <c r="N22" s="9">
        <v>7580.7999999999993</v>
      </c>
      <c r="O22" s="9">
        <v>6921.6</v>
      </c>
      <c r="P22" s="9">
        <v>6262.4</v>
      </c>
      <c r="Q22" s="5">
        <f t="shared" si="3"/>
        <v>20764.8</v>
      </c>
      <c r="R22" s="24"/>
      <c r="T22" s="5"/>
      <c r="U22" s="61" t="str">
        <f t="shared" si="4"/>
        <v>Tööjõukul</v>
      </c>
      <c r="V22" s="62">
        <f>IFERROR(VLOOKUP(U22,'Investeeringute kirjeldus'!$A$3:$R$37,9,FALSE),0)</f>
        <v>0</v>
      </c>
      <c r="W22" s="64"/>
      <c r="Z22" s="64"/>
      <c r="AC22" s="64"/>
    </row>
    <row r="23" spans="1:29" ht="15.9" customHeight="1">
      <c r="A23" s="2" t="s">
        <v>45</v>
      </c>
      <c r="B23" s="8">
        <v>11606.144</v>
      </c>
      <c r="C23" s="8">
        <v>11078.592000000001</v>
      </c>
      <c r="D23" s="8">
        <v>10551.039999999999</v>
      </c>
      <c r="E23" s="3">
        <f t="shared" si="0"/>
        <v>33235.775999999998</v>
      </c>
      <c r="F23" s="8">
        <v>19652.864000000001</v>
      </c>
      <c r="G23" s="8">
        <v>19652.864000000001</v>
      </c>
      <c r="H23" s="8">
        <v>16972.928</v>
      </c>
      <c r="I23" s="3">
        <f t="shared" si="1"/>
        <v>56278.656000000003</v>
      </c>
      <c r="J23" s="8">
        <v>35491.175999999999</v>
      </c>
      <c r="K23" s="8">
        <v>33704.551999999996</v>
      </c>
      <c r="L23" s="8">
        <v>33704.551999999996</v>
      </c>
      <c r="M23" s="3">
        <f t="shared" si="2"/>
        <v>102900.28</v>
      </c>
      <c r="N23" s="8">
        <v>35491.175999999999</v>
      </c>
      <c r="O23" s="8">
        <v>33704.551999999996</v>
      </c>
      <c r="P23" s="8">
        <v>31917.928</v>
      </c>
      <c r="Q23" s="3">
        <f t="shared" si="3"/>
        <v>101113.656</v>
      </c>
      <c r="R23" s="23"/>
      <c r="T23" s="5"/>
      <c r="U23" s="61" t="str">
        <f t="shared" si="4"/>
        <v>Suunamise</v>
      </c>
      <c r="V23" s="62">
        <f>IFERROR(VLOOKUP(U23,'Investeeringute kirjeldus'!$A$3:$R$37,9,FALSE),0)</f>
        <v>0</v>
      </c>
      <c r="W23" s="64"/>
      <c r="Z23" s="64"/>
      <c r="AC23" s="64"/>
    </row>
    <row r="24" spans="1:29" ht="15.9" customHeight="1">
      <c r="A24" s="4" t="s">
        <v>23</v>
      </c>
      <c r="B24" s="9">
        <v>0</v>
      </c>
      <c r="C24" s="9">
        <v>0</v>
      </c>
      <c r="D24" s="9">
        <v>0</v>
      </c>
      <c r="E24" s="5">
        <f t="shared" si="0"/>
        <v>0</v>
      </c>
      <c r="F24" s="9">
        <v>0</v>
      </c>
      <c r="G24" s="9">
        <v>0</v>
      </c>
      <c r="H24" s="9">
        <v>0</v>
      </c>
      <c r="I24" s="5">
        <f t="shared" si="1"/>
        <v>0</v>
      </c>
      <c r="J24" s="9">
        <v>14945</v>
      </c>
      <c r="K24" s="9">
        <v>14945</v>
      </c>
      <c r="L24" s="9">
        <v>14945</v>
      </c>
      <c r="M24" s="5">
        <f t="shared" si="2"/>
        <v>44835</v>
      </c>
      <c r="N24" s="9">
        <v>14945</v>
      </c>
      <c r="O24" s="9">
        <v>14945</v>
      </c>
      <c r="P24" s="9">
        <v>14945</v>
      </c>
      <c r="Q24" s="5">
        <f t="shared" si="3"/>
        <v>44835</v>
      </c>
      <c r="R24" s="24"/>
      <c r="T24" s="5">
        <f t="shared" si="5"/>
        <v>89670</v>
      </c>
      <c r="U24" s="61" t="str">
        <f t="shared" si="4"/>
        <v>PROJ-3467</v>
      </c>
      <c r="V24" s="62">
        <f>IFERROR(VLOOKUP(U24,'Investeeringute kirjeldus'!$A$3:$R$37,9,FALSE),0)</f>
        <v>89670</v>
      </c>
      <c r="W24" s="64">
        <f t="shared" si="6"/>
        <v>0</v>
      </c>
      <c r="X24" s="5">
        <f>E24+I24</f>
        <v>0</v>
      </c>
      <c r="Y24" s="1">
        <f>IFERROR(VLOOKUP(U24,'Investeeringute kirjeldus'!$A$3:$R$37,14,FALSE),0)</f>
        <v>0</v>
      </c>
      <c r="Z24" s="64">
        <f>X24-Y24</f>
        <v>0</v>
      </c>
      <c r="AA24" s="5">
        <f>M24+Q24</f>
        <v>89670</v>
      </c>
      <c r="AB24" s="1">
        <f>IFERROR(VLOOKUP(U24,'Investeeringute kirjeldus'!$A$3:$R$37,15,FALSE),0)</f>
        <v>89670</v>
      </c>
      <c r="AC24" s="64">
        <f>AA24-AB24</f>
        <v>0</v>
      </c>
    </row>
    <row r="25" spans="1:29" ht="15.9" customHeight="1">
      <c r="A25" s="4" t="s">
        <v>54</v>
      </c>
      <c r="B25" s="9">
        <v>11606.144</v>
      </c>
      <c r="C25" s="9">
        <v>11078.592000000001</v>
      </c>
      <c r="D25" s="9">
        <v>10551.039999999999</v>
      </c>
      <c r="E25" s="5">
        <f t="shared" si="0"/>
        <v>33235.775999999998</v>
      </c>
      <c r="F25" s="9">
        <v>19652.864000000001</v>
      </c>
      <c r="G25" s="9">
        <v>19652.864000000001</v>
      </c>
      <c r="H25" s="9">
        <v>16972.928</v>
      </c>
      <c r="I25" s="5">
        <f t="shared" si="1"/>
        <v>56278.656000000003</v>
      </c>
      <c r="J25" s="9">
        <v>20546.175999999999</v>
      </c>
      <c r="K25" s="9">
        <v>18759.552</v>
      </c>
      <c r="L25" s="9">
        <v>18759.552</v>
      </c>
      <c r="M25" s="5">
        <f t="shared" si="2"/>
        <v>58065.279999999999</v>
      </c>
      <c r="N25" s="9">
        <v>20546.175999999999</v>
      </c>
      <c r="O25" s="9">
        <v>18759.552</v>
      </c>
      <c r="P25" s="9">
        <v>16972.928</v>
      </c>
      <c r="Q25" s="5">
        <f t="shared" si="3"/>
        <v>56278.656000000003</v>
      </c>
      <c r="R25" s="24"/>
      <c r="T25" s="5"/>
      <c r="U25" s="61" t="str">
        <f t="shared" si="4"/>
        <v>Tööjõukul</v>
      </c>
      <c r="V25" s="62">
        <f>IFERROR(VLOOKUP(U25,'Investeeringute kirjeldus'!$A$3:$R$37,9,FALSE),0)</f>
        <v>0</v>
      </c>
      <c r="W25" s="64"/>
      <c r="Z25" s="64"/>
      <c r="AC25" s="64"/>
    </row>
    <row r="26" spans="1:29" ht="15.9" customHeight="1">
      <c r="A26" s="2" t="s">
        <v>46</v>
      </c>
      <c r="B26" s="8">
        <v>12816.32</v>
      </c>
      <c r="C26" s="8">
        <v>12233.759999999998</v>
      </c>
      <c r="D26" s="8">
        <v>11651.2</v>
      </c>
      <c r="E26" s="3">
        <f t="shared" si="0"/>
        <v>36701.279999999999</v>
      </c>
      <c r="F26" s="8">
        <v>12816.32</v>
      </c>
      <c r="G26" s="8">
        <v>12816.32</v>
      </c>
      <c r="H26" s="8">
        <v>11068.64</v>
      </c>
      <c r="I26" s="3">
        <f t="shared" si="1"/>
        <v>36701.279999999999</v>
      </c>
      <c r="J26" s="8">
        <v>13398.88</v>
      </c>
      <c r="K26" s="8">
        <v>12233.759999999998</v>
      </c>
      <c r="L26" s="8">
        <v>12233.759999999998</v>
      </c>
      <c r="M26" s="3">
        <f t="shared" si="2"/>
        <v>37866.399999999994</v>
      </c>
      <c r="N26" s="8">
        <v>13398.88</v>
      </c>
      <c r="O26" s="8">
        <v>12233.759999999998</v>
      </c>
      <c r="P26" s="8">
        <v>11068.64</v>
      </c>
      <c r="Q26" s="3">
        <f t="shared" si="3"/>
        <v>36701.279999999999</v>
      </c>
      <c r="R26" s="23"/>
      <c r="T26" s="5"/>
      <c r="U26" s="61" t="str">
        <f t="shared" si="4"/>
        <v>Teabekesk</v>
      </c>
      <c r="V26" s="62">
        <f>IFERROR(VLOOKUP(U26,'Investeeringute kirjeldus'!$A$3:$R$37,9,FALSE),0)</f>
        <v>0</v>
      </c>
      <c r="W26" s="64"/>
      <c r="Z26" s="64"/>
      <c r="AC26" s="64"/>
    </row>
    <row r="27" spans="1:29" ht="15.9" customHeight="1">
      <c r="A27" s="4" t="s">
        <v>54</v>
      </c>
      <c r="B27" s="9">
        <v>12816.32</v>
      </c>
      <c r="C27" s="9">
        <v>12233.759999999998</v>
      </c>
      <c r="D27" s="9">
        <v>11651.2</v>
      </c>
      <c r="E27" s="5">
        <f t="shared" si="0"/>
        <v>36701.279999999999</v>
      </c>
      <c r="F27" s="9">
        <v>12816.32</v>
      </c>
      <c r="G27" s="9">
        <v>12816.32</v>
      </c>
      <c r="H27" s="9">
        <v>11068.64</v>
      </c>
      <c r="I27" s="5">
        <f t="shared" si="1"/>
        <v>36701.279999999999</v>
      </c>
      <c r="J27" s="9">
        <v>13398.88</v>
      </c>
      <c r="K27" s="9">
        <v>12233.759999999998</v>
      </c>
      <c r="L27" s="9">
        <v>12233.759999999998</v>
      </c>
      <c r="M27" s="5">
        <f t="shared" si="2"/>
        <v>37866.399999999994</v>
      </c>
      <c r="N27" s="9">
        <v>13398.88</v>
      </c>
      <c r="O27" s="9">
        <v>12233.759999999998</v>
      </c>
      <c r="P27" s="9">
        <v>11068.64</v>
      </c>
      <c r="Q27" s="5">
        <f t="shared" si="3"/>
        <v>36701.279999999999</v>
      </c>
      <c r="R27" s="24"/>
      <c r="T27" s="5"/>
      <c r="U27" s="61" t="str">
        <f t="shared" si="4"/>
        <v>Tööjõukul</v>
      </c>
      <c r="V27" s="62">
        <f>IFERROR(VLOOKUP(U27,'Investeeringute kirjeldus'!$A$3:$R$37,9,FALSE),0)</f>
        <v>0</v>
      </c>
      <c r="W27" s="64"/>
      <c r="Z27" s="64"/>
      <c r="AC27" s="64"/>
    </row>
    <row r="28" spans="1:29" ht="15.9" customHeight="1">
      <c r="A28" s="2" t="s">
        <v>47</v>
      </c>
      <c r="B28" s="8">
        <v>129056.95999999999</v>
      </c>
      <c r="C28" s="8">
        <v>128625.28</v>
      </c>
      <c r="D28" s="8">
        <v>128193.60000000001</v>
      </c>
      <c r="E28" s="3">
        <f t="shared" si="0"/>
        <v>385875.83999999997</v>
      </c>
      <c r="F28" s="8">
        <v>143865.60000000001</v>
      </c>
      <c r="G28" s="8">
        <v>143865.60000000001</v>
      </c>
      <c r="H28" s="8">
        <v>140551.20000000001</v>
      </c>
      <c r="I28" s="3">
        <f t="shared" si="1"/>
        <v>428282.4</v>
      </c>
      <c r="J28" s="8">
        <v>129202.13333333332</v>
      </c>
      <c r="K28" s="8">
        <v>126630.93333333332</v>
      </c>
      <c r="L28" s="8">
        <v>126630.93333333332</v>
      </c>
      <c r="M28" s="3">
        <f t="shared" si="2"/>
        <v>382464</v>
      </c>
      <c r="N28" s="8">
        <v>129202.13333333332</v>
      </c>
      <c r="O28" s="8">
        <v>126630.93333333332</v>
      </c>
      <c r="P28" s="8">
        <v>124059.73333333331</v>
      </c>
      <c r="Q28" s="3">
        <f t="shared" si="3"/>
        <v>379892.79999999993</v>
      </c>
      <c r="R28" s="23"/>
      <c r="T28" s="5"/>
      <c r="U28" s="61" t="str">
        <f t="shared" si="4"/>
        <v>Terviseju</v>
      </c>
      <c r="V28" s="62">
        <f>IFERROR(VLOOKUP(U28,'Investeeringute kirjeldus'!$A$3:$R$37,9,FALSE),0)</f>
        <v>0</v>
      </c>
      <c r="W28" s="64"/>
      <c r="Z28" s="64"/>
      <c r="AC28" s="64"/>
    </row>
    <row r="29" spans="1:29" ht="15.9" customHeight="1">
      <c r="A29" s="4" t="s">
        <v>8</v>
      </c>
      <c r="B29" s="9">
        <v>59780</v>
      </c>
      <c r="C29" s="9">
        <v>59780</v>
      </c>
      <c r="D29" s="9">
        <v>59780</v>
      </c>
      <c r="E29" s="5">
        <f t="shared" si="0"/>
        <v>179340</v>
      </c>
      <c r="F29" s="9">
        <v>59780</v>
      </c>
      <c r="G29" s="9">
        <v>59780</v>
      </c>
      <c r="H29" s="9">
        <v>59780</v>
      </c>
      <c r="I29" s="5">
        <f t="shared" si="1"/>
        <v>179340</v>
      </c>
      <c r="J29" s="9">
        <v>39853.333333333328</v>
      </c>
      <c r="K29" s="9">
        <v>39853.333333333328</v>
      </c>
      <c r="L29" s="9">
        <v>39853.333333333328</v>
      </c>
      <c r="M29" s="5">
        <f t="shared" si="2"/>
        <v>119559.99999999999</v>
      </c>
      <c r="N29" s="9">
        <v>39853.333333333328</v>
      </c>
      <c r="O29" s="9">
        <v>39853.333333333328</v>
      </c>
      <c r="P29" s="9">
        <v>39853.333333333328</v>
      </c>
      <c r="Q29" s="5">
        <f t="shared" si="3"/>
        <v>119559.99999999999</v>
      </c>
      <c r="R29" s="24"/>
      <c r="T29" s="5">
        <f t="shared" si="5"/>
        <v>597800</v>
      </c>
      <c r="U29" s="61" t="str">
        <f t="shared" si="4"/>
        <v>PROJ-3620</v>
      </c>
      <c r="V29" s="62">
        <f>IFERROR(VLOOKUP(U29,'Investeeringute kirjeldus'!$A$3:$R$37,9,FALSE),0)</f>
        <v>597800</v>
      </c>
      <c r="W29" s="64">
        <f t="shared" si="6"/>
        <v>0</v>
      </c>
      <c r="X29" s="5">
        <f t="shared" ref="X29:X30" si="13">E29+I29</f>
        <v>358680</v>
      </c>
      <c r="Y29" s="1">
        <f>IFERROR(VLOOKUP(U29,'Investeeringute kirjeldus'!$A$3:$R$37,14,FALSE),0)</f>
        <v>358680</v>
      </c>
      <c r="Z29" s="64">
        <f t="shared" ref="Z29:Z30" si="14">X29-Y29</f>
        <v>0</v>
      </c>
      <c r="AA29" s="5">
        <f t="shared" ref="AA29:AA30" si="15">M29+Q29</f>
        <v>239119.99999999997</v>
      </c>
      <c r="AB29" s="1">
        <f>IFERROR(VLOOKUP(U29,'Investeeringute kirjeldus'!$A$3:$R$37,15,FALSE),0)</f>
        <v>239120</v>
      </c>
      <c r="AC29" s="64">
        <f t="shared" ref="AC29:AC30" si="16">AA29-AB29</f>
        <v>0</v>
      </c>
    </row>
    <row r="30" spans="1:29" ht="15.9" customHeight="1">
      <c r="A30" s="4" t="s">
        <v>9</v>
      </c>
      <c r="B30" s="9">
        <v>59780</v>
      </c>
      <c r="C30" s="9">
        <v>59780</v>
      </c>
      <c r="D30" s="9">
        <v>59780</v>
      </c>
      <c r="E30" s="5">
        <f t="shared" si="0"/>
        <v>179340</v>
      </c>
      <c r="F30" s="9">
        <v>59780</v>
      </c>
      <c r="G30" s="9">
        <v>59780</v>
      </c>
      <c r="H30" s="9">
        <v>59780</v>
      </c>
      <c r="I30" s="5">
        <f t="shared" si="1"/>
        <v>179340</v>
      </c>
      <c r="J30" s="9">
        <v>19926.666666666664</v>
      </c>
      <c r="K30" s="9">
        <v>19926.666666666664</v>
      </c>
      <c r="L30" s="9">
        <v>19926.666666666664</v>
      </c>
      <c r="M30" s="5">
        <f t="shared" si="2"/>
        <v>59779.999999999993</v>
      </c>
      <c r="N30" s="9">
        <v>19926.666666666664</v>
      </c>
      <c r="O30" s="9">
        <v>19926.666666666664</v>
      </c>
      <c r="P30" s="9">
        <v>19926.666666666664</v>
      </c>
      <c r="Q30" s="5">
        <f t="shared" si="3"/>
        <v>59779.999999999993</v>
      </c>
      <c r="R30" s="24"/>
      <c r="T30" s="5">
        <f t="shared" si="5"/>
        <v>478240</v>
      </c>
      <c r="U30" s="61" t="str">
        <f t="shared" si="4"/>
        <v>PROJ-3622</v>
      </c>
      <c r="V30" s="62">
        <f>IFERROR(VLOOKUP(U30,'Investeeringute kirjeldus'!$A$3:$R$37,9,FALSE),0)</f>
        <v>478240</v>
      </c>
      <c r="W30" s="64">
        <f t="shared" si="6"/>
        <v>0</v>
      </c>
      <c r="X30" s="5">
        <f t="shared" si="13"/>
        <v>358680</v>
      </c>
      <c r="Y30" s="1">
        <f>IFERROR(VLOOKUP(U30,'Investeeringute kirjeldus'!$A$3:$R$37,14,FALSE),0)</f>
        <v>358680</v>
      </c>
      <c r="Z30" s="64">
        <f t="shared" si="14"/>
        <v>0</v>
      </c>
      <c r="AA30" s="5">
        <f t="shared" si="15"/>
        <v>119559.99999999999</v>
      </c>
      <c r="AB30" s="1">
        <f>IFERROR(VLOOKUP(U30,'Investeeringute kirjeldus'!$A$3:$R$37,15,FALSE),0)</f>
        <v>119560</v>
      </c>
      <c r="AC30" s="64">
        <f t="shared" si="16"/>
        <v>0</v>
      </c>
    </row>
    <row r="31" spans="1:29" ht="15.9" customHeight="1">
      <c r="A31" s="4" t="s">
        <v>6</v>
      </c>
      <c r="B31" s="9">
        <v>0</v>
      </c>
      <c r="C31" s="9">
        <v>0</v>
      </c>
      <c r="D31" s="9">
        <v>0</v>
      </c>
      <c r="E31" s="5">
        <f t="shared" si="0"/>
        <v>0</v>
      </c>
      <c r="F31" s="9">
        <v>0</v>
      </c>
      <c r="G31" s="9">
        <v>0</v>
      </c>
      <c r="H31" s="9">
        <v>0</v>
      </c>
      <c r="I31" s="5">
        <f t="shared" si="1"/>
        <v>0</v>
      </c>
      <c r="J31" s="9">
        <v>39853.333333333328</v>
      </c>
      <c r="K31" s="9">
        <v>39853.333333333328</v>
      </c>
      <c r="L31" s="9">
        <v>39853.333333333328</v>
      </c>
      <c r="M31" s="5">
        <f t="shared" si="2"/>
        <v>119559.99999999999</v>
      </c>
      <c r="N31" s="9">
        <v>39853.333333333328</v>
      </c>
      <c r="O31" s="9">
        <v>39853.333333333328</v>
      </c>
      <c r="P31" s="9">
        <v>39853.333333333328</v>
      </c>
      <c r="Q31" s="5">
        <f t="shared" si="3"/>
        <v>119559.99999999999</v>
      </c>
      <c r="R31" s="24"/>
      <c r="T31" s="5">
        <f t="shared" si="5"/>
        <v>239119.99999999997</v>
      </c>
      <c r="U31" s="61" t="str">
        <f t="shared" si="4"/>
        <v>PROJ-3631</v>
      </c>
      <c r="V31" s="62">
        <f>IFERROR(VLOOKUP(U31,'Investeeringute kirjeldus'!$A$3:$R$37,9,FALSE),0)</f>
        <v>239120</v>
      </c>
      <c r="W31" s="64">
        <f t="shared" si="6"/>
        <v>0</v>
      </c>
      <c r="Y31" s="1">
        <f>IFERROR(VLOOKUP(U31,'Investeeringute kirjeldus'!$A$3:$R$37,14,FALSE),0)</f>
        <v>0</v>
      </c>
      <c r="Z31" s="64">
        <f t="shared" si="10"/>
        <v>0</v>
      </c>
      <c r="AB31" s="1">
        <f>IFERROR(VLOOKUP(X31,'Investeeringute kirjeldus'!$A$3:$R$37,14,FALSE),0)</f>
        <v>0</v>
      </c>
      <c r="AC31" s="64">
        <f t="shared" ref="AC31" si="17">Z31-AB31</f>
        <v>0</v>
      </c>
    </row>
    <row r="32" spans="1:29" ht="15.9" customHeight="1">
      <c r="A32" s="4" t="s">
        <v>54</v>
      </c>
      <c r="B32" s="9">
        <v>9496.9599999999991</v>
      </c>
      <c r="C32" s="9">
        <v>9065.2800000000007</v>
      </c>
      <c r="D32" s="9">
        <v>8633.6</v>
      </c>
      <c r="E32" s="5">
        <f t="shared" si="0"/>
        <v>27195.839999999997</v>
      </c>
      <c r="F32" s="9">
        <v>24305.600000000002</v>
      </c>
      <c r="G32" s="9">
        <v>24305.600000000002</v>
      </c>
      <c r="H32" s="9">
        <v>20991.199999999997</v>
      </c>
      <c r="I32" s="5">
        <f t="shared" si="1"/>
        <v>69602.399999999994</v>
      </c>
      <c r="J32" s="9">
        <v>29568.799999999999</v>
      </c>
      <c r="K32" s="9">
        <v>26997.599999999999</v>
      </c>
      <c r="L32" s="9">
        <v>26997.599999999999</v>
      </c>
      <c r="M32" s="5">
        <f t="shared" si="2"/>
        <v>83564</v>
      </c>
      <c r="N32" s="9">
        <v>29568.799999999999</v>
      </c>
      <c r="O32" s="9">
        <v>26997.599999999999</v>
      </c>
      <c r="P32" s="9">
        <v>24426.399999999998</v>
      </c>
      <c r="Q32" s="5">
        <f t="shared" si="3"/>
        <v>80992.799999999988</v>
      </c>
      <c r="R32" s="24"/>
      <c r="T32" s="5"/>
      <c r="U32" s="61" t="str">
        <f t="shared" si="4"/>
        <v>Tööjõukul</v>
      </c>
      <c r="V32" s="62">
        <f>IFERROR(VLOOKUP(U32,'Investeeringute kirjeldus'!$A$3:$R$37,9,FALSE),0)</f>
        <v>0</v>
      </c>
      <c r="W32" s="64"/>
      <c r="Z32" s="64"/>
      <c r="AC32" s="64"/>
    </row>
    <row r="33" spans="1:29" ht="15.9" customHeight="1">
      <c r="A33" s="2" t="s">
        <v>48</v>
      </c>
      <c r="B33" s="8">
        <v>29890</v>
      </c>
      <c r="C33" s="8">
        <v>29890</v>
      </c>
      <c r="D33" s="8">
        <v>29890</v>
      </c>
      <c r="E33" s="3">
        <f t="shared" si="0"/>
        <v>89670</v>
      </c>
      <c r="F33" s="8">
        <v>33163.599999999999</v>
      </c>
      <c r="G33" s="8">
        <v>33163.599999999999</v>
      </c>
      <c r="H33" s="8">
        <v>32717.200000000001</v>
      </c>
      <c r="I33" s="3">
        <f t="shared" si="1"/>
        <v>99044.4</v>
      </c>
      <c r="J33" s="8">
        <v>56661.46666666666</v>
      </c>
      <c r="K33" s="8">
        <v>56066.266666666656</v>
      </c>
      <c r="L33" s="8">
        <v>56066.266666666656</v>
      </c>
      <c r="M33" s="3">
        <f t="shared" si="2"/>
        <v>168793.99999999997</v>
      </c>
      <c r="N33" s="8">
        <v>56661.46666666666</v>
      </c>
      <c r="O33" s="8">
        <v>56066.266666666656</v>
      </c>
      <c r="P33" s="8">
        <v>55471.066666666658</v>
      </c>
      <c r="Q33" s="3">
        <f t="shared" si="3"/>
        <v>168198.79999999996</v>
      </c>
      <c r="R33" s="23"/>
      <c r="T33" s="5"/>
      <c r="U33" s="61" t="str">
        <f t="shared" si="4"/>
        <v>Tervisepo</v>
      </c>
      <c r="V33" s="62">
        <f>IFERROR(VLOOKUP(U33,'Investeeringute kirjeldus'!$A$3:$R$37,9,FALSE),0)</f>
        <v>0</v>
      </c>
      <c r="W33" s="64"/>
      <c r="Z33" s="64"/>
      <c r="AC33" s="64"/>
    </row>
    <row r="34" spans="1:29" ht="15.9" customHeight="1">
      <c r="A34" s="4" t="s">
        <v>7</v>
      </c>
      <c r="B34" s="9">
        <v>29890</v>
      </c>
      <c r="C34" s="9">
        <v>29890</v>
      </c>
      <c r="D34" s="9">
        <v>29890</v>
      </c>
      <c r="E34" s="5">
        <f t="shared" si="0"/>
        <v>89670</v>
      </c>
      <c r="F34" s="9">
        <v>29890</v>
      </c>
      <c r="G34" s="9">
        <v>29890</v>
      </c>
      <c r="H34" s="9">
        <v>29890</v>
      </c>
      <c r="I34" s="5">
        <f t="shared" si="1"/>
        <v>89670</v>
      </c>
      <c r="J34" s="9">
        <v>49816.666666666657</v>
      </c>
      <c r="K34" s="9">
        <v>49816.666666666657</v>
      </c>
      <c r="L34" s="9">
        <v>49816.666666666657</v>
      </c>
      <c r="M34" s="5">
        <f t="shared" si="2"/>
        <v>149449.99999999997</v>
      </c>
      <c r="N34" s="9">
        <v>49816.666666666657</v>
      </c>
      <c r="O34" s="9">
        <v>49816.666666666657</v>
      </c>
      <c r="P34" s="9">
        <v>49816.666666666657</v>
      </c>
      <c r="Q34" s="5">
        <f t="shared" si="3"/>
        <v>149449.99999999997</v>
      </c>
      <c r="R34" s="24"/>
      <c r="T34" s="5">
        <f t="shared" si="5"/>
        <v>478240</v>
      </c>
      <c r="U34" s="61" t="str">
        <f t="shared" si="4"/>
        <v>PROJ-3468</v>
      </c>
      <c r="V34" s="62">
        <f>IFERROR(VLOOKUP(U34,'Investeeringute kirjeldus'!$A$3:$R$37,9,FALSE),0)</f>
        <v>478240</v>
      </c>
      <c r="W34" s="64">
        <f t="shared" si="6"/>
        <v>0</v>
      </c>
      <c r="X34" s="5">
        <f>E34+I34</f>
        <v>179340</v>
      </c>
      <c r="Y34" s="1">
        <f>IFERROR(VLOOKUP(U34,'Investeeringute kirjeldus'!$A$3:$R$37,14,FALSE),0)</f>
        <v>179340</v>
      </c>
      <c r="Z34" s="64">
        <f t="shared" ref="Z34" si="18">X34-Y34</f>
        <v>0</v>
      </c>
      <c r="AA34" s="5">
        <f>M34+Q34</f>
        <v>298899.99999999994</v>
      </c>
      <c r="AB34" s="1">
        <f>IFERROR(VLOOKUP(U34,'Investeeringute kirjeldus'!$A$3:$R$37,15,FALSE),0)</f>
        <v>298900</v>
      </c>
      <c r="AC34" s="64">
        <f t="shared" ref="AC34" si="19">AA34-AB34</f>
        <v>0</v>
      </c>
    </row>
    <row r="35" spans="1:29" ht="15.9" customHeight="1">
      <c r="A35" s="4" t="s">
        <v>34</v>
      </c>
      <c r="B35" s="9">
        <v>0</v>
      </c>
      <c r="C35" s="9">
        <v>0</v>
      </c>
      <c r="D35" s="9">
        <v>0</v>
      </c>
      <c r="E35" s="5">
        <f t="shared" si="0"/>
        <v>0</v>
      </c>
      <c r="F35" s="9">
        <v>0</v>
      </c>
      <c r="G35" s="9">
        <v>0</v>
      </c>
      <c r="H35" s="9">
        <v>0</v>
      </c>
      <c r="I35" s="5">
        <f t="shared" si="1"/>
        <v>0</v>
      </c>
      <c r="J35" s="9">
        <v>0</v>
      </c>
      <c r="K35" s="9">
        <v>0</v>
      </c>
      <c r="L35" s="9">
        <v>0</v>
      </c>
      <c r="M35" s="5">
        <f t="shared" si="2"/>
        <v>0</v>
      </c>
      <c r="N35" s="9">
        <v>0</v>
      </c>
      <c r="O35" s="9">
        <v>0</v>
      </c>
      <c r="P35" s="9">
        <v>0</v>
      </c>
      <c r="Q35" s="5">
        <f t="shared" si="3"/>
        <v>0</v>
      </c>
      <c r="R35" s="24" t="s">
        <v>65</v>
      </c>
      <c r="T35" s="5">
        <f t="shared" si="5"/>
        <v>0</v>
      </c>
      <c r="U35" s="61" t="str">
        <f t="shared" si="4"/>
        <v>PROJ-3831</v>
      </c>
      <c r="V35" s="62">
        <f>IFERROR(VLOOKUP(U35,'Investeeringute kirjeldus'!$A$3:$R$37,9,FALSE),0)</f>
        <v>0</v>
      </c>
      <c r="W35" s="64">
        <f t="shared" si="6"/>
        <v>0</v>
      </c>
      <c r="Z35" s="64">
        <f t="shared" si="10"/>
        <v>0</v>
      </c>
      <c r="AC35" s="64">
        <f t="shared" ref="AC35" si="20">Z35-AB35</f>
        <v>0</v>
      </c>
    </row>
    <row r="36" spans="1:29" ht="15.9" customHeight="1">
      <c r="A36" s="4" t="s">
        <v>54</v>
      </c>
      <c r="B36" s="9">
        <v>0</v>
      </c>
      <c r="C36" s="9">
        <v>0</v>
      </c>
      <c r="D36" s="9">
        <v>0</v>
      </c>
      <c r="E36" s="5">
        <f t="shared" si="0"/>
        <v>0</v>
      </c>
      <c r="F36" s="9">
        <v>3273.6</v>
      </c>
      <c r="G36" s="9">
        <v>3273.6</v>
      </c>
      <c r="H36" s="9">
        <v>2827.2</v>
      </c>
      <c r="I36" s="5">
        <f t="shared" si="1"/>
        <v>9374.4</v>
      </c>
      <c r="J36" s="9">
        <v>6844.7999999999993</v>
      </c>
      <c r="K36" s="9">
        <v>6249.6</v>
      </c>
      <c r="L36" s="9">
        <v>6249.6</v>
      </c>
      <c r="M36" s="5">
        <f t="shared" si="2"/>
        <v>19344</v>
      </c>
      <c r="N36" s="9">
        <v>6844.7999999999993</v>
      </c>
      <c r="O36" s="9">
        <v>6249.6</v>
      </c>
      <c r="P36" s="9">
        <v>5654.4</v>
      </c>
      <c r="Q36" s="5">
        <f t="shared" si="3"/>
        <v>18748.8</v>
      </c>
      <c r="R36" s="24"/>
      <c r="T36" s="5"/>
      <c r="U36" s="61" t="str">
        <f t="shared" si="4"/>
        <v>Tööjõukul</v>
      </c>
      <c r="V36" s="62">
        <f>IFERROR(VLOOKUP(U36,'Investeeringute kirjeldus'!$A$3:$R$37,9,FALSE),0)</f>
        <v>0</v>
      </c>
      <c r="W36" s="64"/>
      <c r="Z36" s="64"/>
      <c r="AC36" s="64"/>
    </row>
    <row r="37" spans="1:29" ht="15.9" customHeight="1">
      <c r="A37" s="2" t="s">
        <v>49</v>
      </c>
      <c r="B37" s="8">
        <v>79706.666666666672</v>
      </c>
      <c r="C37" s="8">
        <v>79706.666666666672</v>
      </c>
      <c r="D37" s="8">
        <v>79706.666666666672</v>
      </c>
      <c r="E37" s="3">
        <f t="shared" si="0"/>
        <v>239120</v>
      </c>
      <c r="F37" s="8">
        <v>79706.666666666672</v>
      </c>
      <c r="G37" s="8">
        <v>79706.666666666672</v>
      </c>
      <c r="H37" s="8">
        <v>79706.666666666672</v>
      </c>
      <c r="I37" s="3">
        <f t="shared" si="1"/>
        <v>239120</v>
      </c>
      <c r="J37" s="8">
        <v>22446.592933333337</v>
      </c>
      <c r="K37" s="8">
        <v>22446.592933333337</v>
      </c>
      <c r="L37" s="8">
        <v>22446.592933333337</v>
      </c>
      <c r="M37" s="3">
        <f t="shared" si="2"/>
        <v>67339.778800000015</v>
      </c>
      <c r="N37" s="8">
        <v>22446.592933333337</v>
      </c>
      <c r="O37" s="8">
        <v>22446.592933333337</v>
      </c>
      <c r="P37" s="8">
        <v>22446.592933333337</v>
      </c>
      <c r="Q37" s="3">
        <f t="shared" si="3"/>
        <v>67339.778800000015</v>
      </c>
      <c r="R37" s="23"/>
      <c r="T37" s="5"/>
      <c r="U37" s="61" t="str">
        <f t="shared" si="4"/>
        <v>Üleriigil</v>
      </c>
      <c r="V37" s="62">
        <f>IFERROR(VLOOKUP(U37,'Investeeringute kirjeldus'!$A$3:$R$37,9,FALSE),0)</f>
        <v>0</v>
      </c>
      <c r="W37" s="64"/>
      <c r="Z37" s="64"/>
      <c r="AC37" s="64"/>
    </row>
    <row r="38" spans="1:29" ht="15.9" customHeight="1">
      <c r="A38" s="4" t="s">
        <v>22</v>
      </c>
      <c r="B38" s="9">
        <v>39853.333333333336</v>
      </c>
      <c r="C38" s="9">
        <v>39853.333333333336</v>
      </c>
      <c r="D38" s="9">
        <v>39853.333333333336</v>
      </c>
      <c r="E38" s="5">
        <f t="shared" si="0"/>
        <v>119560</v>
      </c>
      <c r="F38" s="9">
        <v>39853.333333333336</v>
      </c>
      <c r="G38" s="9">
        <v>39853.333333333336</v>
      </c>
      <c r="H38" s="9">
        <v>39853.333333333336</v>
      </c>
      <c r="I38" s="5">
        <f t="shared" si="1"/>
        <v>119560</v>
      </c>
      <c r="J38" s="9">
        <v>9963.3333333333339</v>
      </c>
      <c r="K38" s="9">
        <v>9963.3333333333339</v>
      </c>
      <c r="L38" s="9">
        <v>9963.3333333333339</v>
      </c>
      <c r="M38" s="5">
        <f t="shared" si="2"/>
        <v>29890</v>
      </c>
      <c r="N38" s="9">
        <v>9963.3333333333339</v>
      </c>
      <c r="O38" s="9">
        <v>9963.3333333333339</v>
      </c>
      <c r="P38" s="9">
        <v>9963.3333333333339</v>
      </c>
      <c r="Q38" s="5">
        <f t="shared" si="3"/>
        <v>29890</v>
      </c>
      <c r="R38" s="24"/>
      <c r="T38" s="5">
        <f t="shared" si="5"/>
        <v>298900</v>
      </c>
      <c r="U38" s="61" t="str">
        <f t="shared" si="4"/>
        <v>PROJ-3463</v>
      </c>
      <c r="V38" s="62">
        <f>IFERROR(VLOOKUP(U38,'Investeeringute kirjeldus'!$A$3:$R$37,9,FALSE),0)</f>
        <v>298900</v>
      </c>
      <c r="W38" s="64">
        <f t="shared" si="6"/>
        <v>0</v>
      </c>
      <c r="X38" s="5">
        <f t="shared" ref="X38:X39" si="21">E38+I38</f>
        <v>239120</v>
      </c>
      <c r="Y38" s="1">
        <f>IFERROR(VLOOKUP(U38,'Investeeringute kirjeldus'!$A$3:$R$37,14,FALSE),0)</f>
        <v>239120</v>
      </c>
      <c r="Z38" s="64">
        <f t="shared" ref="Z38:Z39" si="22">X38-Y38</f>
        <v>0</v>
      </c>
      <c r="AA38" s="5">
        <f t="shared" ref="AA38:AA39" si="23">M38+Q38</f>
        <v>59780</v>
      </c>
      <c r="AB38" s="1">
        <f>IFERROR(VLOOKUP(U38,'Investeeringute kirjeldus'!$A$3:$R$37,15,FALSE),0)</f>
        <v>59780</v>
      </c>
      <c r="AC38" s="64">
        <f t="shared" ref="AC38:AC39" si="24">AA38-AB38</f>
        <v>0</v>
      </c>
    </row>
    <row r="39" spans="1:29" ht="15.9" customHeight="1">
      <c r="A39" s="4" t="s">
        <v>30</v>
      </c>
      <c r="B39" s="9">
        <v>39853.333333333336</v>
      </c>
      <c r="C39" s="9">
        <v>39853.333333333336</v>
      </c>
      <c r="D39" s="9">
        <v>39853.333333333336</v>
      </c>
      <c r="E39" s="5">
        <f t="shared" si="0"/>
        <v>119560</v>
      </c>
      <c r="F39" s="9">
        <v>39853.333333333336</v>
      </c>
      <c r="G39" s="9">
        <v>39853.333333333336</v>
      </c>
      <c r="H39" s="9">
        <v>39853.333333333336</v>
      </c>
      <c r="I39" s="5">
        <f t="shared" si="1"/>
        <v>119560</v>
      </c>
      <c r="J39" s="9">
        <v>12483.259600000003</v>
      </c>
      <c r="K39" s="9">
        <v>12483.259600000003</v>
      </c>
      <c r="L39" s="9">
        <v>12483.259600000003</v>
      </c>
      <c r="M39" s="5">
        <f t="shared" si="2"/>
        <v>37449.778800000007</v>
      </c>
      <c r="N39" s="9">
        <v>12483.259600000003</v>
      </c>
      <c r="O39" s="9">
        <v>12483.259600000003</v>
      </c>
      <c r="P39" s="9">
        <v>12483.259600000003</v>
      </c>
      <c r="Q39" s="5">
        <f t="shared" si="3"/>
        <v>37449.778800000007</v>
      </c>
      <c r="R39" s="24"/>
      <c r="T39" s="5">
        <f t="shared" si="5"/>
        <v>314019.55760000006</v>
      </c>
      <c r="U39" s="61" t="str">
        <f t="shared" si="4"/>
        <v>PROJ-3825</v>
      </c>
      <c r="V39" s="62">
        <f>IFERROR(VLOOKUP(U39,'Investeeringute kirjeldus'!$A$3:$R$37,9,FALSE),0)</f>
        <v>314019.5576</v>
      </c>
      <c r="W39" s="64">
        <f t="shared" si="6"/>
        <v>0</v>
      </c>
      <c r="X39" s="5">
        <f t="shared" si="21"/>
        <v>239120</v>
      </c>
      <c r="Y39" s="1">
        <f>IFERROR(VLOOKUP(U39,'Investeeringute kirjeldus'!$A$3:$R$37,14,FALSE),0)</f>
        <v>239120</v>
      </c>
      <c r="Z39" s="64">
        <f t="shared" si="22"/>
        <v>0</v>
      </c>
      <c r="AA39" s="5">
        <f t="shared" si="23"/>
        <v>74899.557600000015</v>
      </c>
      <c r="AB39" s="1">
        <f>IFERROR(VLOOKUP(U39,'Investeeringute kirjeldus'!$A$3:$R$37,15,FALSE),0)</f>
        <v>74899.5576</v>
      </c>
      <c r="AC39" s="64">
        <f t="shared" si="24"/>
        <v>0</v>
      </c>
    </row>
    <row r="40" spans="1:29" ht="15.9" customHeight="1">
      <c r="A40" s="2" t="s">
        <v>50</v>
      </c>
      <c r="B40" s="8">
        <v>11601.919999999998</v>
      </c>
      <c r="C40" s="8">
        <v>11074.560000000001</v>
      </c>
      <c r="D40" s="8">
        <v>10547.2</v>
      </c>
      <c r="E40" s="3">
        <f t="shared" si="0"/>
        <v>33223.68</v>
      </c>
      <c r="F40" s="8">
        <v>11601.919999999998</v>
      </c>
      <c r="G40" s="8">
        <v>11601.919999999998</v>
      </c>
      <c r="H40" s="8">
        <v>10019.84</v>
      </c>
      <c r="I40" s="3">
        <f t="shared" si="1"/>
        <v>33223.679999999993</v>
      </c>
      <c r="J40" s="8">
        <v>12129.279999999999</v>
      </c>
      <c r="K40" s="8">
        <v>11074.560000000001</v>
      </c>
      <c r="L40" s="8">
        <v>11074.560000000001</v>
      </c>
      <c r="M40" s="3">
        <f t="shared" si="2"/>
        <v>34278.400000000001</v>
      </c>
      <c r="N40" s="8">
        <v>12129.279999999999</v>
      </c>
      <c r="O40" s="8">
        <v>11074.560000000001</v>
      </c>
      <c r="P40" s="8">
        <v>10019.84</v>
      </c>
      <c r="Q40" s="3">
        <f t="shared" si="3"/>
        <v>33223.68</v>
      </c>
      <c r="R40" s="23"/>
      <c r="T40" s="5"/>
      <c r="U40" s="61" t="str">
        <f t="shared" si="4"/>
        <v>upTIS alu</v>
      </c>
      <c r="V40" s="62">
        <f>IFERROR(VLOOKUP(U40,'Investeeringute kirjeldus'!$A$3:$R$37,9,FALSE),0)</f>
        <v>0</v>
      </c>
      <c r="W40" s="64"/>
      <c r="Z40" s="64"/>
      <c r="AC40" s="64"/>
    </row>
    <row r="41" spans="1:29" ht="15.9" customHeight="1">
      <c r="A41" s="4" t="s">
        <v>54</v>
      </c>
      <c r="B41" s="9">
        <v>11601.919999999998</v>
      </c>
      <c r="C41" s="9">
        <v>11074.560000000001</v>
      </c>
      <c r="D41" s="9">
        <v>10547.2</v>
      </c>
      <c r="E41" s="5">
        <f t="shared" si="0"/>
        <v>33223.68</v>
      </c>
      <c r="F41" s="9">
        <v>11601.919999999998</v>
      </c>
      <c r="G41" s="9">
        <v>11601.919999999998</v>
      </c>
      <c r="H41" s="9">
        <v>10019.84</v>
      </c>
      <c r="I41" s="5">
        <f t="shared" si="1"/>
        <v>33223.679999999993</v>
      </c>
      <c r="J41" s="9">
        <v>12129.279999999999</v>
      </c>
      <c r="K41" s="9">
        <v>11074.560000000001</v>
      </c>
      <c r="L41" s="9">
        <v>11074.560000000001</v>
      </c>
      <c r="M41" s="5">
        <f t="shared" si="2"/>
        <v>34278.400000000001</v>
      </c>
      <c r="N41" s="9">
        <v>12129.279999999999</v>
      </c>
      <c r="O41" s="9">
        <v>11074.560000000001</v>
      </c>
      <c r="P41" s="9">
        <v>10019.84</v>
      </c>
      <c r="Q41" s="5">
        <f t="shared" si="3"/>
        <v>33223.68</v>
      </c>
      <c r="R41" s="24"/>
      <c r="T41" s="5"/>
      <c r="U41" s="61" t="str">
        <f t="shared" si="4"/>
        <v>Tööjõukul</v>
      </c>
      <c r="V41" s="62">
        <f>IFERROR(VLOOKUP(U41,'Investeeringute kirjeldus'!$A$3:$R$37,9,FALSE),0)</f>
        <v>0</v>
      </c>
      <c r="W41" s="64"/>
      <c r="Z41" s="64"/>
      <c r="AC41" s="64"/>
    </row>
    <row r="42" spans="1:29" ht="15.9" customHeight="1">
      <c r="A42" s="2" t="s">
        <v>51</v>
      </c>
      <c r="B42" s="8">
        <v>32077.600000000002</v>
      </c>
      <c r="C42" s="8">
        <v>30896.800000000003</v>
      </c>
      <c r="D42" s="8">
        <v>29716</v>
      </c>
      <c r="E42" s="3">
        <f t="shared" si="0"/>
        <v>92690.400000000009</v>
      </c>
      <c r="F42" s="8">
        <v>32077.600000000002</v>
      </c>
      <c r="G42" s="8">
        <v>32077.600000000002</v>
      </c>
      <c r="H42" s="8">
        <v>28535.199999999997</v>
      </c>
      <c r="I42" s="3">
        <f t="shared" si="1"/>
        <v>92690.4</v>
      </c>
      <c r="J42" s="8">
        <v>33258.399999999994</v>
      </c>
      <c r="K42" s="8">
        <v>30896.800000000003</v>
      </c>
      <c r="L42" s="8">
        <v>30896.800000000003</v>
      </c>
      <c r="M42" s="3">
        <f t="shared" si="2"/>
        <v>95052</v>
      </c>
      <c r="N42" s="8">
        <v>33258.399999999994</v>
      </c>
      <c r="O42" s="8">
        <v>30896.800000000003</v>
      </c>
      <c r="P42" s="8">
        <v>28535.199999999997</v>
      </c>
      <c r="Q42" s="3">
        <f t="shared" si="3"/>
        <v>92690.4</v>
      </c>
      <c r="R42" s="23"/>
      <c r="T42" s="5"/>
      <c r="U42" s="61" t="str">
        <f t="shared" si="4"/>
        <v>upTIS pla</v>
      </c>
      <c r="V42" s="62">
        <f>IFERROR(VLOOKUP(U42,'Investeeringute kirjeldus'!$A$3:$R$37,9,FALSE),0)</f>
        <v>0</v>
      </c>
      <c r="W42" s="64"/>
      <c r="Z42" s="64"/>
      <c r="AC42" s="64"/>
    </row>
    <row r="43" spans="1:29" ht="15.9" customHeight="1">
      <c r="A43" s="4" t="s">
        <v>31</v>
      </c>
      <c r="B43" s="9">
        <v>6100</v>
      </c>
      <c r="C43" s="9">
        <v>6100</v>
      </c>
      <c r="D43" s="9">
        <v>6100</v>
      </c>
      <c r="E43" s="5">
        <f t="shared" si="0"/>
        <v>18300</v>
      </c>
      <c r="F43" s="9">
        <v>6100</v>
      </c>
      <c r="G43" s="9">
        <v>6100</v>
      </c>
      <c r="H43" s="9">
        <v>6100</v>
      </c>
      <c r="I43" s="5">
        <f t="shared" si="1"/>
        <v>18300</v>
      </c>
      <c r="J43" s="9">
        <v>6100</v>
      </c>
      <c r="K43" s="9">
        <v>6100</v>
      </c>
      <c r="L43" s="9">
        <v>6100</v>
      </c>
      <c r="M43" s="5">
        <f t="shared" si="2"/>
        <v>18300</v>
      </c>
      <c r="N43" s="9">
        <v>6100</v>
      </c>
      <c r="O43" s="9">
        <v>6100</v>
      </c>
      <c r="P43" s="9">
        <v>6100</v>
      </c>
      <c r="Q43" s="5">
        <f t="shared" si="3"/>
        <v>18300</v>
      </c>
      <c r="R43" s="24"/>
      <c r="T43" s="5">
        <f t="shared" si="5"/>
        <v>73200</v>
      </c>
      <c r="U43" s="61" t="str">
        <f t="shared" si="4"/>
        <v>PROJ-3575</v>
      </c>
      <c r="V43" s="62">
        <f>IFERROR(VLOOKUP(U43,'Investeeringute kirjeldus'!$A$3:$R$37,9,FALSE),0)</f>
        <v>73200</v>
      </c>
      <c r="W43" s="64">
        <f t="shared" si="6"/>
        <v>0</v>
      </c>
      <c r="X43" s="5">
        <f>E43+I43</f>
        <v>36600</v>
      </c>
      <c r="Y43" s="1">
        <f>IFERROR(VLOOKUP(U43,'Investeeringute kirjeldus'!$A$3:$R$37,14,FALSE),0)</f>
        <v>36600</v>
      </c>
      <c r="Z43" s="64">
        <f t="shared" ref="Z43" si="25">X43-Y43</f>
        <v>0</v>
      </c>
      <c r="AA43" s="5">
        <f>M43+Q43</f>
        <v>36600</v>
      </c>
      <c r="AB43" s="1">
        <f>IFERROR(VLOOKUP(U43,'Investeeringute kirjeldus'!$A$3:$R$37,15,FALSE),0)</f>
        <v>36600</v>
      </c>
      <c r="AC43" s="64">
        <f t="shared" ref="AC43" si="26">AA43-AB43</f>
        <v>0</v>
      </c>
    </row>
    <row r="44" spans="1:29" ht="15.9" customHeight="1">
      <c r="A44" s="4" t="s">
        <v>54</v>
      </c>
      <c r="B44" s="9">
        <v>25977.600000000002</v>
      </c>
      <c r="C44" s="9">
        <v>24796.800000000003</v>
      </c>
      <c r="D44" s="9">
        <v>23616</v>
      </c>
      <c r="E44" s="5">
        <f t="shared" si="0"/>
        <v>74390.400000000009</v>
      </c>
      <c r="F44" s="9">
        <v>25977.600000000002</v>
      </c>
      <c r="G44" s="9">
        <v>25977.600000000002</v>
      </c>
      <c r="H44" s="9">
        <v>22435.199999999997</v>
      </c>
      <c r="I44" s="5">
        <f t="shared" si="1"/>
        <v>74390.399999999994</v>
      </c>
      <c r="J44" s="9">
        <v>27158.399999999998</v>
      </c>
      <c r="K44" s="9">
        <v>24796.800000000003</v>
      </c>
      <c r="L44" s="9">
        <v>24796.800000000003</v>
      </c>
      <c r="M44" s="5">
        <f t="shared" si="2"/>
        <v>76752</v>
      </c>
      <c r="N44" s="9">
        <v>27158.399999999998</v>
      </c>
      <c r="O44" s="9">
        <v>24796.800000000003</v>
      </c>
      <c r="P44" s="9">
        <v>22435.199999999997</v>
      </c>
      <c r="Q44" s="5">
        <f t="shared" si="3"/>
        <v>74390.399999999994</v>
      </c>
      <c r="R44" s="24"/>
      <c r="T44" s="5"/>
      <c r="U44" s="61" t="str">
        <f t="shared" si="4"/>
        <v>Tööjõukul</v>
      </c>
      <c r="V44" s="62">
        <f>IFERROR(VLOOKUP(U44,'Investeeringute kirjeldus'!$A$3:$R$37,9,FALSE),0)</f>
        <v>0</v>
      </c>
      <c r="W44" s="64"/>
      <c r="Z44" s="64"/>
      <c r="AC44" s="64"/>
    </row>
    <row r="45" spans="1:29" ht="15.9" customHeight="1">
      <c r="A45" s="2" t="s">
        <v>52</v>
      </c>
      <c r="B45" s="8">
        <v>294616.60000000003</v>
      </c>
      <c r="C45" s="8">
        <v>292719</v>
      </c>
      <c r="D45" s="8">
        <v>290821.40000000002</v>
      </c>
      <c r="E45" s="3">
        <f t="shared" si="0"/>
        <v>878157.00000000012</v>
      </c>
      <c r="F45" s="8">
        <v>304067.80000000005</v>
      </c>
      <c r="G45" s="8">
        <v>304067.80000000005</v>
      </c>
      <c r="H45" s="8">
        <v>297086.2</v>
      </c>
      <c r="I45" s="3">
        <f t="shared" si="1"/>
        <v>905221.8</v>
      </c>
      <c r="J45" s="8">
        <v>227532.8226666667</v>
      </c>
      <c r="K45" s="8">
        <v>222137.87866666669</v>
      </c>
      <c r="L45" s="8">
        <v>222137.87866666669</v>
      </c>
      <c r="M45" s="3">
        <f t="shared" si="2"/>
        <v>671808.58000000007</v>
      </c>
      <c r="N45" s="8">
        <v>226300.75866666669</v>
      </c>
      <c r="O45" s="8">
        <v>221012.9506666667</v>
      </c>
      <c r="P45" s="8">
        <v>215725.14266666671</v>
      </c>
      <c r="Q45" s="3">
        <f t="shared" si="3"/>
        <v>663038.85200000019</v>
      </c>
      <c r="R45" s="23"/>
      <c r="T45" s="5"/>
      <c r="U45" s="61" t="str">
        <f t="shared" si="4"/>
        <v>upTIS pla</v>
      </c>
      <c r="V45" s="62">
        <f>IFERROR(VLOOKUP(U45,'Investeeringute kirjeldus'!$A$3:$R$37,9,FALSE),0)</f>
        <v>0</v>
      </c>
      <c r="W45" s="64"/>
      <c r="Z45" s="64"/>
      <c r="AC45" s="64"/>
    </row>
    <row r="46" spans="1:29" ht="15.9" customHeight="1">
      <c r="A46" s="4" t="s">
        <v>11</v>
      </c>
      <c r="B46" s="9">
        <v>55794.666666666657</v>
      </c>
      <c r="C46" s="9">
        <v>55794.666666666657</v>
      </c>
      <c r="D46" s="9">
        <v>55794.666666666657</v>
      </c>
      <c r="E46" s="5">
        <f t="shared" si="0"/>
        <v>167383.99999999997</v>
      </c>
      <c r="F46" s="9">
        <v>55794.666666666657</v>
      </c>
      <c r="G46" s="9">
        <v>55794.666666666657</v>
      </c>
      <c r="H46" s="9">
        <v>55794.666666666657</v>
      </c>
      <c r="I46" s="5">
        <f t="shared" si="1"/>
        <v>167383.99999999997</v>
      </c>
      <c r="J46" s="9">
        <v>23911.999999999996</v>
      </c>
      <c r="K46" s="9">
        <v>23911.999999999996</v>
      </c>
      <c r="L46" s="9">
        <v>23911.999999999996</v>
      </c>
      <c r="M46" s="5">
        <f t="shared" si="2"/>
        <v>71735.999999999985</v>
      </c>
      <c r="N46" s="9">
        <v>23911.999999999996</v>
      </c>
      <c r="O46" s="9">
        <v>23911.999999999996</v>
      </c>
      <c r="P46" s="9">
        <v>23911.999999999996</v>
      </c>
      <c r="Q46" s="5">
        <f t="shared" si="3"/>
        <v>71735.999999999985</v>
      </c>
      <c r="R46" s="24"/>
      <c r="T46" s="5">
        <f t="shared" si="5"/>
        <v>478239.99999999994</v>
      </c>
      <c r="U46" s="61" t="str">
        <f t="shared" si="4"/>
        <v>PROJ-3455</v>
      </c>
      <c r="V46" s="62">
        <f>IFERROR(VLOOKUP(U46,'Investeeringute kirjeldus'!$A$3:$R$37,9,FALSE),0)</f>
        <v>478240</v>
      </c>
      <c r="W46" s="64">
        <f t="shared" si="6"/>
        <v>0</v>
      </c>
      <c r="X46" s="5">
        <f>E46+I46</f>
        <v>334767.99999999994</v>
      </c>
      <c r="Y46" s="1">
        <f>IFERROR(VLOOKUP(U46,'Investeeringute kirjeldus'!$A$3:$R$37,14,FALSE),0)</f>
        <v>334768</v>
      </c>
      <c r="Z46" s="64">
        <f t="shared" ref="Z46:Z66" si="27">X46-Y46</f>
        <v>0</v>
      </c>
      <c r="AA46" s="5">
        <f t="shared" ref="AA46:AA63" si="28">M46+Q46</f>
        <v>143471.99999999997</v>
      </c>
      <c r="AB46" s="1">
        <f>IFERROR(VLOOKUP(U46,'Investeeringute kirjeldus'!$A$3:$R$37,15,FALSE),0)</f>
        <v>143472</v>
      </c>
      <c r="AC46" s="64">
        <f t="shared" ref="AC46:AC66" si="29">AA46-AB46</f>
        <v>0</v>
      </c>
    </row>
    <row r="47" spans="1:29" ht="15.9" customHeight="1">
      <c r="A47" s="4" t="s">
        <v>21</v>
      </c>
      <c r="B47" s="9">
        <v>0</v>
      </c>
      <c r="C47" s="9">
        <v>0</v>
      </c>
      <c r="D47" s="9">
        <v>0</v>
      </c>
      <c r="E47" s="5">
        <f t="shared" si="0"/>
        <v>0</v>
      </c>
      <c r="F47" s="9">
        <v>0</v>
      </c>
      <c r="G47" s="9">
        <v>0</v>
      </c>
      <c r="H47" s="9">
        <v>0</v>
      </c>
      <c r="I47" s="5">
        <f t="shared" si="1"/>
        <v>0</v>
      </c>
      <c r="J47" s="9">
        <v>1992.6666666666667</v>
      </c>
      <c r="K47" s="9">
        <v>1992.6666666666667</v>
      </c>
      <c r="L47" s="9">
        <v>1992.6666666666667</v>
      </c>
      <c r="M47" s="5">
        <f t="shared" si="2"/>
        <v>5978</v>
      </c>
      <c r="N47" s="9">
        <v>1992.6666666666667</v>
      </c>
      <c r="O47" s="9">
        <v>1992.6666666666667</v>
      </c>
      <c r="P47" s="9">
        <v>1992.6666666666667</v>
      </c>
      <c r="Q47" s="5">
        <f t="shared" si="3"/>
        <v>5978</v>
      </c>
      <c r="R47" s="24"/>
      <c r="T47" s="5">
        <f t="shared" si="5"/>
        <v>11956</v>
      </c>
      <c r="U47" s="61" t="str">
        <f t="shared" si="4"/>
        <v>PROJ-3457</v>
      </c>
      <c r="V47" s="62">
        <f>IFERROR(VLOOKUP(U47,'Investeeringute kirjeldus'!$A$3:$R$37,9,FALSE),0)</f>
        <v>11956</v>
      </c>
      <c r="W47" s="64">
        <f t="shared" si="6"/>
        <v>0</v>
      </c>
      <c r="X47" s="5">
        <f t="shared" ref="X47:X61" si="30">E47+I47</f>
        <v>0</v>
      </c>
      <c r="Y47" s="1">
        <f>IFERROR(VLOOKUP(U47,'Investeeringute kirjeldus'!$A$3:$R$37,14,FALSE),0)</f>
        <v>0</v>
      </c>
      <c r="Z47" s="64">
        <f t="shared" si="27"/>
        <v>0</v>
      </c>
      <c r="AA47" s="5">
        <f t="shared" si="28"/>
        <v>11956</v>
      </c>
      <c r="AB47" s="1">
        <f>IFERROR(VLOOKUP(U47,'Investeeringute kirjeldus'!$A$3:$R$37,15,FALSE),0)</f>
        <v>11956</v>
      </c>
      <c r="AC47" s="64">
        <f t="shared" si="29"/>
        <v>0</v>
      </c>
    </row>
    <row r="48" spans="1:29" ht="15.9" customHeight="1">
      <c r="A48" s="4" t="s">
        <v>5</v>
      </c>
      <c r="B48" s="9">
        <v>11956</v>
      </c>
      <c r="C48" s="9">
        <v>11956</v>
      </c>
      <c r="D48" s="9">
        <v>11956</v>
      </c>
      <c r="E48" s="5">
        <f t="shared" si="0"/>
        <v>35868</v>
      </c>
      <c r="F48" s="9">
        <v>11956</v>
      </c>
      <c r="G48" s="9">
        <v>11956</v>
      </c>
      <c r="H48" s="9">
        <v>11956</v>
      </c>
      <c r="I48" s="5">
        <f t="shared" si="1"/>
        <v>35868</v>
      </c>
      <c r="J48" s="9">
        <v>0</v>
      </c>
      <c r="K48" s="9">
        <v>0</v>
      </c>
      <c r="L48" s="9">
        <v>0</v>
      </c>
      <c r="M48" s="5">
        <f t="shared" si="2"/>
        <v>0</v>
      </c>
      <c r="N48" s="9">
        <v>0</v>
      </c>
      <c r="O48" s="9">
        <v>0</v>
      </c>
      <c r="P48" s="9">
        <v>0</v>
      </c>
      <c r="Q48" s="5">
        <f t="shared" si="3"/>
        <v>0</v>
      </c>
      <c r="R48" s="24"/>
      <c r="T48" s="5">
        <f t="shared" si="5"/>
        <v>71736</v>
      </c>
      <c r="U48" s="61" t="str">
        <f t="shared" si="4"/>
        <v>PROJ-3459</v>
      </c>
      <c r="V48" s="62">
        <f>IFERROR(VLOOKUP(U48,'Investeeringute kirjeldus'!$A$3:$R$37,9,FALSE),0)</f>
        <v>71736</v>
      </c>
      <c r="W48" s="64">
        <f t="shared" si="6"/>
        <v>0</v>
      </c>
      <c r="X48" s="5">
        <f t="shared" si="30"/>
        <v>71736</v>
      </c>
      <c r="Y48" s="1">
        <f>IFERROR(VLOOKUP(U48,'Investeeringute kirjeldus'!$A$3:$R$37,14,FALSE),0)</f>
        <v>71736</v>
      </c>
      <c r="Z48" s="64">
        <f t="shared" si="27"/>
        <v>0</v>
      </c>
      <c r="AA48" s="5">
        <f t="shared" si="28"/>
        <v>0</v>
      </c>
      <c r="AB48" s="1">
        <f>IFERROR(VLOOKUP(U48,'Investeeringute kirjeldus'!$A$3:$R$37,15,FALSE),0)</f>
        <v>0</v>
      </c>
      <c r="AC48" s="64">
        <f t="shared" si="29"/>
        <v>0</v>
      </c>
    </row>
    <row r="49" spans="1:29" ht="15.9" customHeight="1">
      <c r="A49" s="4" t="s">
        <v>24</v>
      </c>
      <c r="B49" s="9">
        <v>13948.666666666664</v>
      </c>
      <c r="C49" s="9">
        <v>13948.666666666664</v>
      </c>
      <c r="D49" s="9">
        <v>13948.666666666664</v>
      </c>
      <c r="E49" s="5">
        <f t="shared" si="0"/>
        <v>41845.999999999993</v>
      </c>
      <c r="F49" s="9">
        <v>13948.666666666664</v>
      </c>
      <c r="G49" s="9">
        <v>13948.666666666664</v>
      </c>
      <c r="H49" s="9">
        <v>13948.666666666664</v>
      </c>
      <c r="I49" s="5">
        <f t="shared" si="1"/>
        <v>41845.999999999993</v>
      </c>
      <c r="J49" s="9">
        <v>0</v>
      </c>
      <c r="K49" s="9">
        <v>0</v>
      </c>
      <c r="L49" s="9">
        <v>0</v>
      </c>
      <c r="M49" s="5">
        <f t="shared" si="2"/>
        <v>0</v>
      </c>
      <c r="N49" s="9">
        <v>0</v>
      </c>
      <c r="O49" s="9">
        <v>0</v>
      </c>
      <c r="P49" s="9">
        <v>0</v>
      </c>
      <c r="Q49" s="5">
        <f t="shared" si="3"/>
        <v>0</v>
      </c>
      <c r="R49" s="24"/>
      <c r="T49" s="5">
        <f t="shared" si="5"/>
        <v>83691.999999999985</v>
      </c>
      <c r="U49" s="61" t="str">
        <f t="shared" si="4"/>
        <v>PROJ-3594</v>
      </c>
      <c r="V49" s="62">
        <f>IFERROR(VLOOKUP(U49,'Investeeringute kirjeldus'!$A$3:$R$37,9,FALSE),0)</f>
        <v>83692</v>
      </c>
      <c r="W49" s="64">
        <f t="shared" si="6"/>
        <v>0</v>
      </c>
      <c r="X49" s="5">
        <f t="shared" si="30"/>
        <v>83691.999999999985</v>
      </c>
      <c r="Y49" s="1">
        <f>IFERROR(VLOOKUP(U49,'Investeeringute kirjeldus'!$A$3:$R$37,14,FALSE),0)</f>
        <v>83692</v>
      </c>
      <c r="Z49" s="64">
        <f t="shared" si="27"/>
        <v>0</v>
      </c>
      <c r="AA49" s="5">
        <f t="shared" si="28"/>
        <v>0</v>
      </c>
      <c r="AB49" s="1">
        <f>IFERROR(VLOOKUP(U49,'Investeeringute kirjeldus'!$A$3:$R$37,15,FALSE),0)</f>
        <v>0</v>
      </c>
      <c r="AC49" s="64">
        <f t="shared" si="29"/>
        <v>0</v>
      </c>
    </row>
    <row r="50" spans="1:29" ht="15.9" customHeight="1">
      <c r="A50" s="4" t="s">
        <v>25</v>
      </c>
      <c r="B50" s="9">
        <v>14945</v>
      </c>
      <c r="C50" s="9">
        <v>14945</v>
      </c>
      <c r="D50" s="9">
        <v>14945</v>
      </c>
      <c r="E50" s="5">
        <f t="shared" si="0"/>
        <v>44835</v>
      </c>
      <c r="F50" s="9">
        <v>14945</v>
      </c>
      <c r="G50" s="9">
        <v>14945</v>
      </c>
      <c r="H50" s="9">
        <v>14945</v>
      </c>
      <c r="I50" s="5">
        <f t="shared" si="1"/>
        <v>44835</v>
      </c>
      <c r="J50" s="9">
        <v>14945</v>
      </c>
      <c r="K50" s="9">
        <v>14945</v>
      </c>
      <c r="L50" s="9">
        <v>14945</v>
      </c>
      <c r="M50" s="5">
        <f t="shared" si="2"/>
        <v>44835</v>
      </c>
      <c r="N50" s="9">
        <v>14945</v>
      </c>
      <c r="O50" s="9">
        <v>14945</v>
      </c>
      <c r="P50" s="9">
        <v>14945</v>
      </c>
      <c r="Q50" s="5">
        <f t="shared" si="3"/>
        <v>44835</v>
      </c>
      <c r="R50" s="24"/>
      <c r="T50" s="5">
        <f t="shared" si="5"/>
        <v>179340</v>
      </c>
      <c r="U50" s="61" t="str">
        <f t="shared" si="4"/>
        <v>PROJ-3608</v>
      </c>
      <c r="V50" s="62">
        <f>IFERROR(VLOOKUP(U50,'Investeeringute kirjeldus'!$A$3:$R$37,9,FALSE),0)</f>
        <v>179340</v>
      </c>
      <c r="W50" s="64">
        <f t="shared" si="6"/>
        <v>0</v>
      </c>
      <c r="X50" s="5">
        <f t="shared" si="30"/>
        <v>89670</v>
      </c>
      <c r="Y50" s="1">
        <f>IFERROR(VLOOKUP(U50,'Investeeringute kirjeldus'!$A$3:$R$37,14,FALSE),0)</f>
        <v>89670</v>
      </c>
      <c r="Z50" s="64">
        <f t="shared" si="27"/>
        <v>0</v>
      </c>
      <c r="AA50" s="5">
        <f t="shared" si="28"/>
        <v>89670</v>
      </c>
      <c r="AB50" s="1">
        <f>IFERROR(VLOOKUP(U50,'Investeeringute kirjeldus'!$A$3:$R$37,15,FALSE),0)</f>
        <v>89670</v>
      </c>
      <c r="AC50" s="64">
        <f t="shared" si="29"/>
        <v>0</v>
      </c>
    </row>
    <row r="51" spans="1:29" ht="15.9" customHeight="1">
      <c r="A51" s="4" t="s">
        <v>26</v>
      </c>
      <c r="B51" s="9">
        <v>29890</v>
      </c>
      <c r="C51" s="9">
        <v>29890</v>
      </c>
      <c r="D51" s="9">
        <v>29890</v>
      </c>
      <c r="E51" s="5">
        <f t="shared" si="0"/>
        <v>89670</v>
      </c>
      <c r="F51" s="9">
        <v>29890</v>
      </c>
      <c r="G51" s="9">
        <v>29890</v>
      </c>
      <c r="H51" s="9">
        <v>29890</v>
      </c>
      <c r="I51" s="5">
        <f t="shared" si="1"/>
        <v>89670</v>
      </c>
      <c r="J51" s="9">
        <v>9963.3333333333339</v>
      </c>
      <c r="K51" s="9">
        <v>9963.3333333333339</v>
      </c>
      <c r="L51" s="9">
        <v>9963.3333333333339</v>
      </c>
      <c r="M51" s="5">
        <f t="shared" si="2"/>
        <v>29890</v>
      </c>
      <c r="N51" s="9">
        <v>9963.3333333333339</v>
      </c>
      <c r="O51" s="9">
        <v>9963.3333333333339</v>
      </c>
      <c r="P51" s="9">
        <v>9963.3333333333339</v>
      </c>
      <c r="Q51" s="5">
        <f t="shared" si="3"/>
        <v>29890</v>
      </c>
      <c r="R51" s="24"/>
      <c r="T51" s="5">
        <f t="shared" si="5"/>
        <v>239120</v>
      </c>
      <c r="U51" s="61" t="str">
        <f t="shared" si="4"/>
        <v>PROJ-3609</v>
      </c>
      <c r="V51" s="62">
        <f>IFERROR(VLOOKUP(U51,'Investeeringute kirjeldus'!$A$3:$R$37,9,FALSE),0)</f>
        <v>239120</v>
      </c>
      <c r="W51" s="64">
        <f t="shared" si="6"/>
        <v>0</v>
      </c>
      <c r="X51" s="5">
        <f t="shared" si="30"/>
        <v>179340</v>
      </c>
      <c r="Y51" s="1">
        <f>IFERROR(VLOOKUP(U51,'Investeeringute kirjeldus'!$A$3:$R$37,14,FALSE),0)</f>
        <v>179340</v>
      </c>
      <c r="Z51" s="64">
        <f t="shared" si="27"/>
        <v>0</v>
      </c>
      <c r="AA51" s="5">
        <f t="shared" si="28"/>
        <v>59780</v>
      </c>
      <c r="AB51" s="1">
        <f>IFERROR(VLOOKUP(U51,'Investeeringute kirjeldus'!$A$3:$R$37,15,FALSE),0)</f>
        <v>59780</v>
      </c>
      <c r="AC51" s="64">
        <f t="shared" si="29"/>
        <v>0</v>
      </c>
    </row>
    <row r="52" spans="1:29" ht="15.9" customHeight="1">
      <c r="A52" s="4" t="s">
        <v>27</v>
      </c>
      <c r="B52" s="9">
        <v>9963.3333333333339</v>
      </c>
      <c r="C52" s="9">
        <v>9963.3333333333339</v>
      </c>
      <c r="D52" s="9">
        <v>9963.3333333333339</v>
      </c>
      <c r="E52" s="5">
        <f t="shared" si="0"/>
        <v>29890</v>
      </c>
      <c r="F52" s="9">
        <v>9963.3333333333339</v>
      </c>
      <c r="G52" s="9">
        <v>9963.3333333333339</v>
      </c>
      <c r="H52" s="9">
        <v>9963.3333333333339</v>
      </c>
      <c r="I52" s="5">
        <f t="shared" si="1"/>
        <v>29890</v>
      </c>
      <c r="J52" s="9">
        <v>0</v>
      </c>
      <c r="K52" s="9">
        <v>0</v>
      </c>
      <c r="L52" s="9">
        <v>0</v>
      </c>
      <c r="M52" s="5">
        <f t="shared" si="2"/>
        <v>0</v>
      </c>
      <c r="N52" s="9">
        <v>0</v>
      </c>
      <c r="O52" s="9">
        <v>0</v>
      </c>
      <c r="P52" s="9">
        <v>0</v>
      </c>
      <c r="Q52" s="5">
        <f t="shared" si="3"/>
        <v>0</v>
      </c>
      <c r="R52" s="24"/>
      <c r="T52" s="5">
        <f t="shared" si="5"/>
        <v>59780</v>
      </c>
      <c r="U52" s="61" t="str">
        <f t="shared" si="4"/>
        <v>PROJ-3610</v>
      </c>
      <c r="V52" s="62">
        <f>IFERROR(VLOOKUP(U52,'Investeeringute kirjeldus'!$A$3:$R$37,9,FALSE),0)</f>
        <v>59780</v>
      </c>
      <c r="W52" s="64">
        <f t="shared" si="6"/>
        <v>0</v>
      </c>
      <c r="X52" s="5">
        <f t="shared" si="30"/>
        <v>59780</v>
      </c>
      <c r="Y52" s="1">
        <f>IFERROR(VLOOKUP(U52,'Investeeringute kirjeldus'!$A$3:$R$37,14,FALSE),0)</f>
        <v>59780</v>
      </c>
      <c r="Z52" s="64">
        <f t="shared" si="27"/>
        <v>0</v>
      </c>
      <c r="AA52" s="5">
        <f t="shared" si="28"/>
        <v>0</v>
      </c>
      <c r="AB52" s="1">
        <f>IFERROR(VLOOKUP(U52,'Investeeringute kirjeldus'!$A$3:$R$37,15,FALSE),0)</f>
        <v>0</v>
      </c>
      <c r="AC52" s="64">
        <f t="shared" si="29"/>
        <v>0</v>
      </c>
    </row>
    <row r="53" spans="1:29" ht="15.9" customHeight="1">
      <c r="A53" s="4" t="s">
        <v>12</v>
      </c>
      <c r="B53" s="9">
        <v>25306.866666666665</v>
      </c>
      <c r="C53" s="9">
        <v>25306.866666666665</v>
      </c>
      <c r="D53" s="9">
        <v>25306.866666666665</v>
      </c>
      <c r="E53" s="5">
        <f t="shared" si="0"/>
        <v>75920.599999999991</v>
      </c>
      <c r="F53" s="9">
        <v>25306.866666666665</v>
      </c>
      <c r="G53" s="9">
        <v>25306.866666666665</v>
      </c>
      <c r="H53" s="9">
        <v>25306.866666666665</v>
      </c>
      <c r="I53" s="5">
        <f t="shared" si="1"/>
        <v>75920.599999999991</v>
      </c>
      <c r="J53" s="9">
        <v>0</v>
      </c>
      <c r="K53" s="9">
        <v>0</v>
      </c>
      <c r="L53" s="9">
        <v>0</v>
      </c>
      <c r="M53" s="5">
        <f t="shared" si="2"/>
        <v>0</v>
      </c>
      <c r="N53" s="9">
        <v>0</v>
      </c>
      <c r="O53" s="9">
        <v>0</v>
      </c>
      <c r="P53" s="9">
        <v>0</v>
      </c>
      <c r="Q53" s="5">
        <f t="shared" si="3"/>
        <v>0</v>
      </c>
      <c r="R53" s="24"/>
      <c r="T53" s="5">
        <f t="shared" si="5"/>
        <v>151841.19999999998</v>
      </c>
      <c r="U53" s="61" t="str">
        <f t="shared" si="4"/>
        <v>PROJ-3611</v>
      </c>
      <c r="V53" s="62">
        <f>IFERROR(VLOOKUP(U53,'Investeeringute kirjeldus'!$A$3:$R$37,9,FALSE),0)</f>
        <v>151841.20000000001</v>
      </c>
      <c r="W53" s="64">
        <f t="shared" si="6"/>
        <v>0</v>
      </c>
      <c r="X53" s="5">
        <f t="shared" si="30"/>
        <v>151841.19999999998</v>
      </c>
      <c r="Y53" s="1">
        <f>IFERROR(VLOOKUP(U53,'Investeeringute kirjeldus'!$A$3:$R$37,14,FALSE),0)</f>
        <v>151841.19999999998</v>
      </c>
      <c r="Z53" s="64">
        <f t="shared" si="27"/>
        <v>0</v>
      </c>
      <c r="AA53" s="5">
        <f t="shared" si="28"/>
        <v>0</v>
      </c>
      <c r="AB53" s="1">
        <f>IFERROR(VLOOKUP(U53,'Investeeringute kirjeldus'!$A$3:$R$37,15,FALSE),0)</f>
        <v>0</v>
      </c>
      <c r="AC53" s="64">
        <f t="shared" si="29"/>
        <v>0</v>
      </c>
    </row>
    <row r="54" spans="1:29" ht="15.9" customHeight="1">
      <c r="A54" s="4" t="s">
        <v>13</v>
      </c>
      <c r="B54" s="9">
        <v>12952.333333333334</v>
      </c>
      <c r="C54" s="9">
        <v>12952.333333333334</v>
      </c>
      <c r="D54" s="9">
        <v>12952.333333333334</v>
      </c>
      <c r="E54" s="5">
        <f t="shared" si="0"/>
        <v>38857</v>
      </c>
      <c r="F54" s="9">
        <v>12952.333333333334</v>
      </c>
      <c r="G54" s="9">
        <v>12952.333333333334</v>
      </c>
      <c r="H54" s="9">
        <v>12952.333333333334</v>
      </c>
      <c r="I54" s="5">
        <f t="shared" si="1"/>
        <v>38857</v>
      </c>
      <c r="J54" s="9">
        <v>0</v>
      </c>
      <c r="K54" s="9">
        <v>0</v>
      </c>
      <c r="L54" s="9">
        <v>0</v>
      </c>
      <c r="M54" s="5">
        <f t="shared" si="2"/>
        <v>0</v>
      </c>
      <c r="N54" s="9">
        <v>0</v>
      </c>
      <c r="O54" s="9">
        <v>0</v>
      </c>
      <c r="P54" s="9">
        <v>0</v>
      </c>
      <c r="Q54" s="5">
        <f t="shared" si="3"/>
        <v>0</v>
      </c>
      <c r="R54" s="24"/>
      <c r="T54" s="5">
        <f t="shared" si="5"/>
        <v>77714</v>
      </c>
      <c r="U54" s="61" t="str">
        <f t="shared" si="4"/>
        <v>PROJ-3612</v>
      </c>
      <c r="V54" s="62">
        <f>IFERROR(VLOOKUP(U54,'Investeeringute kirjeldus'!$A$3:$R$37,9,FALSE),0)</f>
        <v>77714</v>
      </c>
      <c r="W54" s="64">
        <f t="shared" si="6"/>
        <v>0</v>
      </c>
      <c r="X54" s="5">
        <f t="shared" si="30"/>
        <v>77714</v>
      </c>
      <c r="Y54" s="1">
        <f>IFERROR(VLOOKUP(U54,'Investeeringute kirjeldus'!$A$3:$R$37,14,FALSE),0)</f>
        <v>77714</v>
      </c>
      <c r="Z54" s="64">
        <f t="shared" si="27"/>
        <v>0</v>
      </c>
      <c r="AA54" s="5">
        <f t="shared" si="28"/>
        <v>0</v>
      </c>
      <c r="AB54" s="1">
        <f>IFERROR(VLOOKUP(U54,'Investeeringute kirjeldus'!$A$3:$R$37,15,FALSE),0)</f>
        <v>0</v>
      </c>
      <c r="AC54" s="64">
        <f t="shared" si="29"/>
        <v>0</v>
      </c>
    </row>
    <row r="55" spans="1:29" ht="15.9" customHeight="1">
      <c r="A55" s="4" t="s">
        <v>14</v>
      </c>
      <c r="B55" s="9">
        <v>33875.333333333336</v>
      </c>
      <c r="C55" s="9">
        <v>33875.333333333336</v>
      </c>
      <c r="D55" s="9">
        <v>33875.333333333336</v>
      </c>
      <c r="E55" s="5">
        <f t="shared" si="0"/>
        <v>101626</v>
      </c>
      <c r="F55" s="9">
        <v>33875.333333333336</v>
      </c>
      <c r="G55" s="9">
        <v>33875.333333333336</v>
      </c>
      <c r="H55" s="9">
        <v>33875.333333333336</v>
      </c>
      <c r="I55" s="5">
        <f t="shared" si="1"/>
        <v>101626</v>
      </c>
      <c r="J55" s="9">
        <v>0</v>
      </c>
      <c r="K55" s="9">
        <v>0</v>
      </c>
      <c r="L55" s="9">
        <v>0</v>
      </c>
      <c r="M55" s="5">
        <f t="shared" si="2"/>
        <v>0</v>
      </c>
      <c r="N55" s="9">
        <v>0</v>
      </c>
      <c r="O55" s="9">
        <v>0</v>
      </c>
      <c r="P55" s="9">
        <v>0</v>
      </c>
      <c r="Q55" s="5">
        <f t="shared" si="3"/>
        <v>0</v>
      </c>
      <c r="R55" s="24"/>
      <c r="T55" s="5">
        <f t="shared" si="5"/>
        <v>203252</v>
      </c>
      <c r="U55" s="61" t="str">
        <f t="shared" si="4"/>
        <v>PROJ-3613</v>
      </c>
      <c r="V55" s="62">
        <f>IFERROR(VLOOKUP(U55,'Investeeringute kirjeldus'!$A$3:$R$37,9,FALSE),0)</f>
        <v>203252</v>
      </c>
      <c r="W55" s="64">
        <f t="shared" si="6"/>
        <v>0</v>
      </c>
      <c r="X55" s="5">
        <f t="shared" si="30"/>
        <v>203252</v>
      </c>
      <c r="Y55" s="1">
        <f>IFERROR(VLOOKUP(U55,'Investeeringute kirjeldus'!$A$3:$R$37,14,FALSE),0)</f>
        <v>203252</v>
      </c>
      <c r="Z55" s="64">
        <f t="shared" si="27"/>
        <v>0</v>
      </c>
      <c r="AA55" s="5">
        <f t="shared" si="28"/>
        <v>0</v>
      </c>
      <c r="AB55" s="1">
        <f>IFERROR(VLOOKUP(U55,'Investeeringute kirjeldus'!$A$3:$R$37,15,FALSE),0)</f>
        <v>0</v>
      </c>
      <c r="AC55" s="64">
        <f t="shared" si="29"/>
        <v>0</v>
      </c>
    </row>
    <row r="56" spans="1:29" ht="15.9" customHeight="1">
      <c r="A56" s="4" t="s">
        <v>15</v>
      </c>
      <c r="B56" s="9">
        <v>6376.5333333333347</v>
      </c>
      <c r="C56" s="9">
        <v>6376.5333333333347</v>
      </c>
      <c r="D56" s="9">
        <v>6376.5333333333347</v>
      </c>
      <c r="E56" s="5">
        <f t="shared" si="0"/>
        <v>19129.600000000006</v>
      </c>
      <c r="F56" s="9">
        <v>6376.5333333333347</v>
      </c>
      <c r="G56" s="9">
        <v>6376.5333333333347</v>
      </c>
      <c r="H56" s="9">
        <v>6376.5333333333347</v>
      </c>
      <c r="I56" s="5">
        <f t="shared" si="1"/>
        <v>19129.600000000006</v>
      </c>
      <c r="J56" s="9">
        <v>25506.133333333339</v>
      </c>
      <c r="K56" s="9">
        <v>25506.133333333339</v>
      </c>
      <c r="L56" s="9">
        <v>25506.133333333339</v>
      </c>
      <c r="M56" s="5">
        <f t="shared" si="2"/>
        <v>76518.400000000023</v>
      </c>
      <c r="N56" s="9">
        <v>25506.133333333339</v>
      </c>
      <c r="O56" s="9">
        <v>25506.133333333339</v>
      </c>
      <c r="P56" s="9">
        <v>25506.133333333339</v>
      </c>
      <c r="Q56" s="5">
        <f t="shared" si="3"/>
        <v>76518.400000000023</v>
      </c>
      <c r="R56" s="24"/>
      <c r="T56" s="5">
        <f t="shared" si="5"/>
        <v>191296.00000000006</v>
      </c>
      <c r="U56" s="61" t="str">
        <f t="shared" si="4"/>
        <v>PROJ-3614</v>
      </c>
      <c r="V56" s="62">
        <f>IFERROR(VLOOKUP(U56,'Investeeringute kirjeldus'!$A$3:$R$37,9,FALSE),0)</f>
        <v>191296</v>
      </c>
      <c r="W56" s="64">
        <f t="shared" si="6"/>
        <v>0</v>
      </c>
      <c r="X56" s="5">
        <f t="shared" si="30"/>
        <v>38259.200000000012</v>
      </c>
      <c r="Y56" s="1">
        <f>IFERROR(VLOOKUP(U56,'Investeeringute kirjeldus'!$A$3:$R$37,14,FALSE),0)</f>
        <v>38259.199999999997</v>
      </c>
      <c r="Z56" s="64">
        <f t="shared" si="27"/>
        <v>0</v>
      </c>
      <c r="AA56" s="5">
        <f t="shared" si="28"/>
        <v>153036.80000000005</v>
      </c>
      <c r="AB56" s="1">
        <f>IFERROR(VLOOKUP(U56,'Investeeringute kirjeldus'!$A$3:$R$37,15,FALSE),0)</f>
        <v>153036.79999999999</v>
      </c>
      <c r="AC56" s="64">
        <f t="shared" si="29"/>
        <v>0</v>
      </c>
    </row>
    <row r="57" spans="1:29" ht="15.9" customHeight="1">
      <c r="A57" s="4" t="s">
        <v>16</v>
      </c>
      <c r="B57" s="9">
        <v>9963.3333333333339</v>
      </c>
      <c r="C57" s="9">
        <v>9963.3333333333339</v>
      </c>
      <c r="D57" s="9">
        <v>9963.3333333333339</v>
      </c>
      <c r="E57" s="5">
        <f t="shared" si="0"/>
        <v>29890</v>
      </c>
      <c r="F57" s="9">
        <v>9963.3333333333339</v>
      </c>
      <c r="G57" s="9">
        <v>9963.3333333333339</v>
      </c>
      <c r="H57" s="9">
        <v>9963.3333333333339</v>
      </c>
      <c r="I57" s="5">
        <f t="shared" si="1"/>
        <v>29890</v>
      </c>
      <c r="J57" s="9">
        <v>38458.466666666667</v>
      </c>
      <c r="K57" s="9">
        <v>38458.466666666667</v>
      </c>
      <c r="L57" s="9">
        <v>38458.466666666667</v>
      </c>
      <c r="M57" s="5">
        <f t="shared" si="2"/>
        <v>115375.4</v>
      </c>
      <c r="N57" s="9">
        <v>38458.466666666667</v>
      </c>
      <c r="O57" s="9">
        <v>38458.466666666667</v>
      </c>
      <c r="P57" s="9">
        <v>38458.466666666667</v>
      </c>
      <c r="Q57" s="5">
        <f t="shared" si="3"/>
        <v>115375.4</v>
      </c>
      <c r="R57" s="24"/>
      <c r="T57" s="5">
        <f t="shared" si="5"/>
        <v>290530.8</v>
      </c>
      <c r="U57" s="61" t="str">
        <f t="shared" si="4"/>
        <v>PROJ-3615</v>
      </c>
      <c r="V57" s="62">
        <f>IFERROR(VLOOKUP(U57,'Investeeringute kirjeldus'!$A$3:$R$37,9,FALSE),0)</f>
        <v>290530.8</v>
      </c>
      <c r="W57" s="64">
        <f t="shared" si="6"/>
        <v>0</v>
      </c>
      <c r="X57" s="5">
        <f t="shared" si="30"/>
        <v>59780</v>
      </c>
      <c r="Y57" s="1">
        <f>IFERROR(VLOOKUP(U57,'Investeeringute kirjeldus'!$A$3:$R$37,14,FALSE),0)</f>
        <v>59780</v>
      </c>
      <c r="Z57" s="64">
        <f t="shared" si="27"/>
        <v>0</v>
      </c>
      <c r="AA57" s="5">
        <f t="shared" si="28"/>
        <v>230750.8</v>
      </c>
      <c r="AB57" s="1">
        <f>IFERROR(VLOOKUP(U57,'Investeeringute kirjeldus'!$A$3:$R$37,15,FALSE),0)</f>
        <v>230750.8</v>
      </c>
      <c r="AC57" s="64">
        <f t="shared" si="29"/>
        <v>0</v>
      </c>
    </row>
    <row r="58" spans="1:29" ht="15.9" customHeight="1">
      <c r="A58" s="4" t="s">
        <v>17</v>
      </c>
      <c r="B58" s="9">
        <v>1992.6666666666667</v>
      </c>
      <c r="C58" s="9">
        <v>1992.6666666666667</v>
      </c>
      <c r="D58" s="9">
        <v>1992.6666666666667</v>
      </c>
      <c r="E58" s="5">
        <f t="shared" si="0"/>
        <v>5978</v>
      </c>
      <c r="F58" s="9">
        <v>1992.6666666666667</v>
      </c>
      <c r="G58" s="9">
        <v>1992.6666666666667</v>
      </c>
      <c r="H58" s="9">
        <v>1992.6666666666667</v>
      </c>
      <c r="I58" s="5">
        <f t="shared" si="1"/>
        <v>5978</v>
      </c>
      <c r="J58" s="9">
        <v>13849.033333333335</v>
      </c>
      <c r="K58" s="9">
        <v>13849.033333333335</v>
      </c>
      <c r="L58" s="9">
        <v>13849.033333333335</v>
      </c>
      <c r="M58" s="5">
        <f t="shared" si="2"/>
        <v>41547.100000000006</v>
      </c>
      <c r="N58" s="9">
        <v>13849.033333333335</v>
      </c>
      <c r="O58" s="9">
        <v>13849.033333333335</v>
      </c>
      <c r="P58" s="9">
        <v>13849.033333333335</v>
      </c>
      <c r="Q58" s="5">
        <f t="shared" si="3"/>
        <v>41547.100000000006</v>
      </c>
      <c r="R58" s="24"/>
      <c r="T58" s="5">
        <f t="shared" si="5"/>
        <v>95050.200000000012</v>
      </c>
      <c r="U58" s="61" t="str">
        <f t="shared" si="4"/>
        <v>PROJ-3616</v>
      </c>
      <c r="V58" s="62">
        <f>IFERROR(VLOOKUP(U58,'Investeeringute kirjeldus'!$A$3:$R$37,9,FALSE),0)</f>
        <v>95050.2</v>
      </c>
      <c r="W58" s="64">
        <f t="shared" si="6"/>
        <v>0</v>
      </c>
      <c r="X58" s="5">
        <f t="shared" si="30"/>
        <v>11956</v>
      </c>
      <c r="Y58" s="1">
        <f>IFERROR(VLOOKUP(U58,'Investeeringute kirjeldus'!$A$3:$R$37,14,FALSE),0)</f>
        <v>11956</v>
      </c>
      <c r="Z58" s="64">
        <f t="shared" si="27"/>
        <v>0</v>
      </c>
      <c r="AA58" s="5">
        <f t="shared" si="28"/>
        <v>83094.200000000012</v>
      </c>
      <c r="AB58" s="1">
        <f>IFERROR(VLOOKUP(U58,'Investeeringute kirjeldus'!$A$3:$R$37,15,FALSE),0)</f>
        <v>83094.2</v>
      </c>
      <c r="AC58" s="64">
        <f t="shared" si="29"/>
        <v>0</v>
      </c>
    </row>
    <row r="59" spans="1:29" ht="15.9" customHeight="1">
      <c r="A59" s="4" t="s">
        <v>18</v>
      </c>
      <c r="B59" s="9">
        <v>5978</v>
      </c>
      <c r="C59" s="9">
        <v>5978</v>
      </c>
      <c r="D59" s="9">
        <v>5978</v>
      </c>
      <c r="E59" s="5">
        <f t="shared" si="0"/>
        <v>17934</v>
      </c>
      <c r="F59" s="9">
        <v>5978</v>
      </c>
      <c r="G59" s="9">
        <v>5978</v>
      </c>
      <c r="H59" s="9">
        <v>5978</v>
      </c>
      <c r="I59" s="5">
        <f t="shared" si="1"/>
        <v>17934</v>
      </c>
      <c r="J59" s="9">
        <v>0</v>
      </c>
      <c r="K59" s="9">
        <v>0</v>
      </c>
      <c r="L59" s="9">
        <v>0</v>
      </c>
      <c r="M59" s="5">
        <f t="shared" si="2"/>
        <v>0</v>
      </c>
      <c r="N59" s="9">
        <v>0</v>
      </c>
      <c r="O59" s="9">
        <v>0</v>
      </c>
      <c r="P59" s="9">
        <v>0</v>
      </c>
      <c r="Q59" s="5">
        <f t="shared" si="3"/>
        <v>0</v>
      </c>
      <c r="R59" s="24"/>
      <c r="T59" s="5">
        <f t="shared" si="5"/>
        <v>35868</v>
      </c>
      <c r="U59" s="61" t="str">
        <f t="shared" si="4"/>
        <v>PROJ-3667</v>
      </c>
      <c r="V59" s="62">
        <f>IFERROR(VLOOKUP(U59,'Investeeringute kirjeldus'!$A$3:$R$37,9,FALSE),0)</f>
        <v>35868</v>
      </c>
      <c r="W59" s="64">
        <f t="shared" si="6"/>
        <v>0</v>
      </c>
      <c r="X59" s="5">
        <f t="shared" si="30"/>
        <v>35868</v>
      </c>
      <c r="Y59" s="1">
        <f>IFERROR(VLOOKUP(U59,'Investeeringute kirjeldus'!$A$3:$R$37,14,FALSE),0)</f>
        <v>35868</v>
      </c>
      <c r="Z59" s="64">
        <f t="shared" si="27"/>
        <v>0</v>
      </c>
      <c r="AA59" s="5">
        <f t="shared" si="28"/>
        <v>0</v>
      </c>
      <c r="AB59" s="1">
        <f>IFERROR(VLOOKUP(U59,'Investeeringute kirjeldus'!$A$3:$R$37,15,FALSE),0)</f>
        <v>0</v>
      </c>
      <c r="AC59" s="64">
        <f t="shared" si="29"/>
        <v>0</v>
      </c>
    </row>
    <row r="60" spans="1:29" ht="15.9" customHeight="1">
      <c r="A60" s="4" t="s">
        <v>19</v>
      </c>
      <c r="B60" s="9">
        <v>0</v>
      </c>
      <c r="C60" s="9">
        <v>0</v>
      </c>
      <c r="D60" s="9">
        <v>0</v>
      </c>
      <c r="E60" s="5">
        <f t="shared" si="0"/>
        <v>0</v>
      </c>
      <c r="F60" s="9">
        <v>0</v>
      </c>
      <c r="G60" s="9">
        <v>0</v>
      </c>
      <c r="H60" s="9">
        <v>0</v>
      </c>
      <c r="I60" s="5">
        <f t="shared" si="1"/>
        <v>0</v>
      </c>
      <c r="J60" s="9">
        <v>5978</v>
      </c>
      <c r="K60" s="9">
        <v>5978</v>
      </c>
      <c r="L60" s="9">
        <v>5978</v>
      </c>
      <c r="M60" s="5">
        <f t="shared" si="2"/>
        <v>17934</v>
      </c>
      <c r="N60" s="9">
        <v>5978</v>
      </c>
      <c r="O60" s="9">
        <v>5978</v>
      </c>
      <c r="P60" s="9">
        <v>5978</v>
      </c>
      <c r="Q60" s="5">
        <f t="shared" si="3"/>
        <v>17934</v>
      </c>
      <c r="R60" s="24"/>
      <c r="T60" s="5">
        <f t="shared" si="5"/>
        <v>35868</v>
      </c>
      <c r="U60" s="61" t="str">
        <f t="shared" si="4"/>
        <v>PROJ-3668</v>
      </c>
      <c r="V60" s="62">
        <f>IFERROR(VLOOKUP(U60,'Investeeringute kirjeldus'!$A$3:$R$37,9,FALSE),0)</f>
        <v>35868</v>
      </c>
      <c r="W60" s="64">
        <f t="shared" si="6"/>
        <v>0</v>
      </c>
      <c r="X60" s="5">
        <f t="shared" si="30"/>
        <v>0</v>
      </c>
      <c r="Y60" s="1">
        <f>IFERROR(VLOOKUP(U60,'Investeeringute kirjeldus'!$A$3:$R$37,14,FALSE),0)</f>
        <v>0</v>
      </c>
      <c r="Z60" s="64">
        <f t="shared" si="27"/>
        <v>0</v>
      </c>
      <c r="AA60" s="5">
        <f t="shared" si="28"/>
        <v>35868</v>
      </c>
      <c r="AB60" s="1">
        <f>IFERROR(VLOOKUP(U60,'Investeeringute kirjeldus'!$A$3:$R$37,15,FALSE),0)</f>
        <v>35868</v>
      </c>
      <c r="AC60" s="64">
        <f t="shared" si="29"/>
        <v>0</v>
      </c>
    </row>
    <row r="61" spans="1:29" ht="15.9" customHeight="1">
      <c r="A61" s="4" t="s">
        <v>28</v>
      </c>
      <c r="B61" s="9">
        <v>0</v>
      </c>
      <c r="C61" s="9">
        <v>0</v>
      </c>
      <c r="D61" s="9">
        <v>0</v>
      </c>
      <c r="E61" s="5">
        <f t="shared" si="0"/>
        <v>0</v>
      </c>
      <c r="F61" s="9">
        <v>0</v>
      </c>
      <c r="G61" s="9">
        <v>0</v>
      </c>
      <c r="H61" s="9">
        <v>0</v>
      </c>
      <c r="I61" s="5">
        <f t="shared" si="1"/>
        <v>0</v>
      </c>
      <c r="J61" s="9">
        <v>20923</v>
      </c>
      <c r="K61" s="9">
        <v>20923</v>
      </c>
      <c r="L61" s="9">
        <v>20923</v>
      </c>
      <c r="M61" s="5">
        <f t="shared" si="2"/>
        <v>62769</v>
      </c>
      <c r="N61" s="9">
        <v>20923</v>
      </c>
      <c r="O61" s="9">
        <v>20923</v>
      </c>
      <c r="P61" s="9">
        <v>20923</v>
      </c>
      <c r="Q61" s="5">
        <f t="shared" si="3"/>
        <v>62769</v>
      </c>
      <c r="R61" s="24"/>
      <c r="T61" s="5">
        <f t="shared" si="5"/>
        <v>125538</v>
      </c>
      <c r="U61" s="61" t="str">
        <f t="shared" si="4"/>
        <v>PROJ-3708</v>
      </c>
      <c r="V61" s="62">
        <f>IFERROR(VLOOKUP(U61,'Investeeringute kirjeldus'!$A$3:$R$37,9,FALSE),0)</f>
        <v>125538</v>
      </c>
      <c r="W61" s="64">
        <f t="shared" si="6"/>
        <v>0</v>
      </c>
      <c r="X61" s="5">
        <f t="shared" si="30"/>
        <v>0</v>
      </c>
      <c r="Y61" s="1">
        <f>IFERROR(VLOOKUP(U61,'Investeeringute kirjeldus'!$A$3:$R$37,14,FALSE),0)</f>
        <v>0</v>
      </c>
      <c r="Z61" s="64">
        <f t="shared" si="27"/>
        <v>0</v>
      </c>
      <c r="AA61" s="5">
        <f t="shared" si="28"/>
        <v>125538</v>
      </c>
      <c r="AB61" s="1">
        <f>IFERROR(VLOOKUP(U61,'Investeeringute kirjeldus'!$A$3:$R$37,15,FALSE),0)</f>
        <v>125538</v>
      </c>
      <c r="AC61" s="64">
        <f t="shared" si="29"/>
        <v>0</v>
      </c>
    </row>
    <row r="62" spans="1:29" ht="15.9" customHeight="1">
      <c r="A62" s="4" t="s">
        <v>20</v>
      </c>
      <c r="B62" s="9">
        <v>9963.3333333333339</v>
      </c>
      <c r="C62" s="9">
        <v>9963.3333333333339</v>
      </c>
      <c r="D62" s="9">
        <v>9963.3333333333339</v>
      </c>
      <c r="E62" s="5">
        <f t="shared" si="0"/>
        <v>29890</v>
      </c>
      <c r="F62" s="9">
        <v>9963.3333333333339</v>
      </c>
      <c r="G62" s="9">
        <v>9963.3333333333339</v>
      </c>
      <c r="H62" s="9">
        <v>9963.3333333333339</v>
      </c>
      <c r="I62" s="5">
        <f t="shared" si="1"/>
        <v>29890</v>
      </c>
      <c r="J62" s="9">
        <v>9963.3333333333339</v>
      </c>
      <c r="K62" s="9">
        <v>9963.3333333333339</v>
      </c>
      <c r="L62" s="9">
        <v>9963.3333333333339</v>
      </c>
      <c r="M62" s="5">
        <f t="shared" si="2"/>
        <v>29890</v>
      </c>
      <c r="N62" s="9">
        <v>9963.3333333333339</v>
      </c>
      <c r="O62" s="9">
        <v>9963.3333333333339</v>
      </c>
      <c r="P62" s="9">
        <v>9963.3333333333339</v>
      </c>
      <c r="Q62" s="5">
        <f t="shared" si="3"/>
        <v>29890</v>
      </c>
      <c r="R62" s="24"/>
      <c r="T62" s="5">
        <f t="shared" si="5"/>
        <v>119560</v>
      </c>
      <c r="U62" s="61" t="str">
        <f t="shared" si="4"/>
        <v>PROJ-3758</v>
      </c>
      <c r="V62" s="62">
        <f>IFERROR(VLOOKUP(U62,'Investeeringute kirjeldus'!$A$3:$R$37,9,FALSE),0)</f>
        <v>119560</v>
      </c>
      <c r="W62" s="64">
        <f t="shared" si="6"/>
        <v>0</v>
      </c>
      <c r="X62" s="5">
        <f t="shared" ref="X62:X63" si="31">E62+I62</f>
        <v>59780</v>
      </c>
      <c r="Y62" s="1">
        <f>IFERROR(VLOOKUP(U62,'Investeeringute kirjeldus'!$A$3:$R$37,14,FALSE),0)</f>
        <v>59780</v>
      </c>
      <c r="Z62" s="64">
        <f t="shared" si="27"/>
        <v>0</v>
      </c>
      <c r="AA62" s="5">
        <f t="shared" si="28"/>
        <v>59780</v>
      </c>
      <c r="AB62" s="1">
        <f>IFERROR(VLOOKUP(U62,'Investeeringute kirjeldus'!$A$3:$R$37,15,FALSE),0)</f>
        <v>59780</v>
      </c>
      <c r="AC62" s="64">
        <f t="shared" si="29"/>
        <v>0</v>
      </c>
    </row>
    <row r="63" spans="1:29" ht="15.9" customHeight="1">
      <c r="A63" s="4" t="s">
        <v>10</v>
      </c>
      <c r="B63" s="9">
        <v>9963.3333333333339</v>
      </c>
      <c r="C63" s="9">
        <v>9963.3333333333339</v>
      </c>
      <c r="D63" s="9">
        <v>9963.3333333333339</v>
      </c>
      <c r="E63" s="5">
        <f t="shared" si="0"/>
        <v>29890</v>
      </c>
      <c r="F63" s="9">
        <v>9963.3333333333339</v>
      </c>
      <c r="G63" s="9">
        <v>9963.3333333333339</v>
      </c>
      <c r="H63" s="9">
        <v>9963.3333333333339</v>
      </c>
      <c r="I63" s="5">
        <f t="shared" si="1"/>
        <v>29890</v>
      </c>
      <c r="J63" s="9">
        <v>0</v>
      </c>
      <c r="K63" s="9">
        <v>0</v>
      </c>
      <c r="L63" s="9">
        <v>0</v>
      </c>
      <c r="M63" s="5">
        <f t="shared" si="2"/>
        <v>0</v>
      </c>
      <c r="N63" s="9">
        <v>0</v>
      </c>
      <c r="O63" s="9">
        <v>0</v>
      </c>
      <c r="P63" s="9">
        <v>0</v>
      </c>
      <c r="Q63" s="5">
        <f t="shared" si="3"/>
        <v>0</v>
      </c>
      <c r="R63" s="24"/>
      <c r="T63" s="5">
        <f t="shared" si="5"/>
        <v>59780</v>
      </c>
      <c r="U63" s="61" t="str">
        <f t="shared" si="4"/>
        <v>PROJ-3793</v>
      </c>
      <c r="V63" s="62">
        <f>IFERROR(VLOOKUP(U63,'Investeeringute kirjeldus'!$A$3:$R$37,9,FALSE),0)</f>
        <v>59780</v>
      </c>
      <c r="W63" s="64">
        <f t="shared" si="6"/>
        <v>0</v>
      </c>
      <c r="X63" s="5">
        <f t="shared" si="31"/>
        <v>59780</v>
      </c>
      <c r="Y63" s="1">
        <f>IFERROR(VLOOKUP(U63,'Investeeringute kirjeldus'!$A$3:$R$37,14,FALSE),0)</f>
        <v>59780</v>
      </c>
      <c r="Z63" s="64">
        <f t="shared" si="27"/>
        <v>0</v>
      </c>
      <c r="AA63" s="5">
        <f t="shared" si="28"/>
        <v>0</v>
      </c>
      <c r="AB63" s="1">
        <f>IFERROR(VLOOKUP(U63,'Investeeringute kirjeldus'!$A$3:$R$37,15,FALSE),0)</f>
        <v>0</v>
      </c>
      <c r="AC63" s="64">
        <f t="shared" si="29"/>
        <v>0</v>
      </c>
    </row>
    <row r="64" spans="1:29" ht="15.9" customHeight="1">
      <c r="A64" s="4" t="s">
        <v>54</v>
      </c>
      <c r="B64" s="9">
        <v>41747.199999999997</v>
      </c>
      <c r="C64" s="9">
        <v>39849.599999999999</v>
      </c>
      <c r="D64" s="9">
        <v>37952</v>
      </c>
      <c r="E64" s="5">
        <f t="shared" si="0"/>
        <v>119548.79999999999</v>
      </c>
      <c r="F64" s="9">
        <v>51198.399999999994</v>
      </c>
      <c r="G64" s="9">
        <v>51198.399999999994</v>
      </c>
      <c r="H64" s="9">
        <v>44216.799999999996</v>
      </c>
      <c r="I64" s="5">
        <f t="shared" si="1"/>
        <v>146613.59999999998</v>
      </c>
      <c r="J64" s="9">
        <v>62041.856</v>
      </c>
      <c r="K64" s="9">
        <v>56646.911999999997</v>
      </c>
      <c r="L64" s="9">
        <v>56646.911999999997</v>
      </c>
      <c r="M64" s="5">
        <f t="shared" si="2"/>
        <v>175335.67999999999</v>
      </c>
      <c r="N64" s="9">
        <v>60809.792000000001</v>
      </c>
      <c r="O64" s="9">
        <v>55521.983999999997</v>
      </c>
      <c r="P64" s="9">
        <v>50234.176000000007</v>
      </c>
      <c r="Q64" s="5">
        <f t="shared" si="3"/>
        <v>166565.95199999999</v>
      </c>
      <c r="R64" s="24"/>
      <c r="T64" s="5"/>
      <c r="U64" s="61" t="str">
        <f t="shared" si="4"/>
        <v>Tööjõukul</v>
      </c>
      <c r="V64" s="62">
        <f>IFERROR(VLOOKUP(U64,'Investeeringute kirjeldus'!$A$3:$R$37,9,FALSE),0)</f>
        <v>0</v>
      </c>
      <c r="W64" s="64"/>
      <c r="Z64" s="64">
        <f t="shared" si="27"/>
        <v>0</v>
      </c>
      <c r="AC64" s="64">
        <f t="shared" si="29"/>
        <v>0</v>
      </c>
    </row>
    <row r="65" spans="1:29" ht="15.9" customHeight="1">
      <c r="A65" s="58" t="s">
        <v>53</v>
      </c>
      <c r="B65" s="8">
        <v>0</v>
      </c>
      <c r="C65" s="8">
        <v>0</v>
      </c>
      <c r="D65" s="8">
        <v>0</v>
      </c>
      <c r="E65" s="3">
        <f t="shared" si="0"/>
        <v>0</v>
      </c>
      <c r="F65" s="8">
        <v>35758.6</v>
      </c>
      <c r="G65" s="8">
        <v>35758.6</v>
      </c>
      <c r="H65" s="8">
        <v>35216.199999999997</v>
      </c>
      <c r="I65" s="3">
        <f t="shared" si="1"/>
        <v>106733.4</v>
      </c>
      <c r="J65" s="8">
        <v>37602.76</v>
      </c>
      <c r="K65" s="8">
        <v>37096.519999999997</v>
      </c>
      <c r="L65" s="8">
        <v>37096.519999999997</v>
      </c>
      <c r="M65" s="3">
        <f t="shared" si="2"/>
        <v>111795.79999999999</v>
      </c>
      <c r="N65" s="8">
        <v>47236.693333333329</v>
      </c>
      <c r="O65" s="8">
        <v>46730.453333333324</v>
      </c>
      <c r="P65" s="8">
        <v>46224.213333333326</v>
      </c>
      <c r="Q65" s="3">
        <f t="shared" si="3"/>
        <v>140191.35999999999</v>
      </c>
      <c r="R65" s="23"/>
      <c r="T65" s="5"/>
      <c r="U65" s="61" t="str">
        <f t="shared" si="4"/>
        <v>Uus Andme</v>
      </c>
      <c r="V65" s="62">
        <f>IFERROR(VLOOKUP(U65,'Investeeringute kirjeldus'!$A$3:$R$37,9,FALSE),0)</f>
        <v>0</v>
      </c>
      <c r="W65" s="64"/>
      <c r="Z65" s="64">
        <f t="shared" si="27"/>
        <v>0</v>
      </c>
      <c r="AC65" s="64">
        <f t="shared" si="29"/>
        <v>0</v>
      </c>
    </row>
    <row r="66" spans="1:29" ht="15.9" customHeight="1">
      <c r="A66" s="4" t="s">
        <v>29</v>
      </c>
      <c r="B66" s="59">
        <v>0</v>
      </c>
      <c r="C66" s="59">
        <v>0</v>
      </c>
      <c r="D66" s="59">
        <v>0</v>
      </c>
      <c r="E66" s="60">
        <f t="shared" si="0"/>
        <v>0</v>
      </c>
      <c r="F66" s="59">
        <v>35758.6</v>
      </c>
      <c r="G66" s="59">
        <v>35758.6</v>
      </c>
      <c r="H66" s="59">
        <f>35216.2-341</f>
        <v>34875.199999999997</v>
      </c>
      <c r="I66" s="60">
        <f t="shared" si="1"/>
        <v>106392.4</v>
      </c>
      <c r="J66" s="59">
        <v>37602.76</v>
      </c>
      <c r="K66" s="59">
        <v>37096.519999999997</v>
      </c>
      <c r="L66" s="59">
        <v>37096.519999999997</v>
      </c>
      <c r="M66" s="60">
        <f t="shared" si="2"/>
        <v>111795.79999999999</v>
      </c>
      <c r="N66" s="59">
        <v>47236.693333333329</v>
      </c>
      <c r="O66" s="59">
        <v>46730.453333333324</v>
      </c>
      <c r="P66" s="59">
        <f>46224.2133333333+301.18</f>
        <v>46525.393333333297</v>
      </c>
      <c r="Q66" s="60">
        <f t="shared" si="3"/>
        <v>140492.53999999995</v>
      </c>
      <c r="R66" s="24" t="s">
        <v>65</v>
      </c>
      <c r="T66" s="5">
        <f>E66+I66+M66+Q66</f>
        <v>358680.73999999993</v>
      </c>
      <c r="U66" s="61" t="str">
        <f t="shared" si="4"/>
        <v>PROJ-3806</v>
      </c>
      <c r="V66" s="62">
        <f>IFERROR(VLOOKUP(U66,'Investeeringute kirjeldus'!$A$3:$R$37,9,FALSE),0)</f>
        <v>358680</v>
      </c>
      <c r="W66" s="64">
        <f t="shared" si="6"/>
        <v>0.73999999993247911</v>
      </c>
      <c r="X66" s="5">
        <f>E66+I66</f>
        <v>106392.4</v>
      </c>
      <c r="Y66" s="1">
        <f>IFERROR(VLOOKUP(U66,'Investeeringute kirjeldus'!$A$3:$R$37,14,FALSE),0)</f>
        <v>106391.66159999999</v>
      </c>
      <c r="Z66" s="64">
        <f t="shared" si="27"/>
        <v>0.73840000000200234</v>
      </c>
      <c r="AA66" s="5">
        <f>M66+Q66</f>
        <v>252288.33999999994</v>
      </c>
      <c r="AB66" s="1">
        <f>IFERROR(VLOOKUP(U66,'Investeeringute kirjeldus'!$A$3:$R$37,15,FALSE),0)</f>
        <v>252288.33840000001</v>
      </c>
      <c r="AC66" s="64">
        <f t="shared" si="29"/>
        <v>1.5999999304767698E-3</v>
      </c>
    </row>
    <row r="67" spans="1:29" ht="15.9" customHeight="1">
      <c r="A67" s="15" t="s">
        <v>63</v>
      </c>
      <c r="B67" s="16"/>
      <c r="C67" s="16"/>
      <c r="D67" s="16"/>
      <c r="E67" s="17">
        <f>SUMIF($A$3:$A$66,"Tööjõukulu",E3:E66)</f>
        <v>480989.37599999999</v>
      </c>
      <c r="F67" s="16"/>
      <c r="G67" s="16"/>
      <c r="H67" s="16"/>
      <c r="I67" s="17">
        <f>SUMIF($A$3:$A$66,"Tööjõukulu",I3:I66)</f>
        <v>582878.01599999995</v>
      </c>
      <c r="J67" s="16"/>
      <c r="K67" s="16"/>
      <c r="L67" s="16"/>
      <c r="M67" s="17">
        <f>SUMIF($A$3:$A$66,"Tööjõukulu",M3:M66)</f>
        <v>646873.76</v>
      </c>
      <c r="N67" s="16"/>
      <c r="O67" s="16"/>
      <c r="P67" s="16"/>
      <c r="Q67" s="17">
        <f>SUMIF($A$3:$A$66,"Tööjõukulu",Q3:Q66)</f>
        <v>623595.16800000006</v>
      </c>
      <c r="R67" s="18"/>
      <c r="W67" s="63"/>
      <c r="Z67" s="63"/>
      <c r="AC67" s="63"/>
    </row>
    <row r="68" spans="1:29" ht="15.9" customHeight="1">
      <c r="A68" s="6" t="s">
        <v>64</v>
      </c>
      <c r="B68" s="10"/>
      <c r="C68" s="10"/>
      <c r="D68" s="10"/>
      <c r="E68" s="7">
        <f>E69-E67</f>
        <v>1578692.2000000004</v>
      </c>
      <c r="F68" s="10"/>
      <c r="G68" s="10"/>
      <c r="H68" s="10"/>
      <c r="I68" s="7">
        <f>I69-I67</f>
        <v>1685425.6000000006</v>
      </c>
      <c r="J68" s="10"/>
      <c r="K68" s="10"/>
      <c r="L68" s="10"/>
      <c r="M68" s="7">
        <f>M69-M67</f>
        <v>1252851.4788000004</v>
      </c>
      <c r="N68" s="10"/>
      <c r="O68" s="10"/>
      <c r="P68" s="10"/>
      <c r="Q68" s="7">
        <f>Q69-Q67</f>
        <v>1281247.0388000002</v>
      </c>
      <c r="R68" s="14"/>
      <c r="T68" s="5">
        <f>E68+I68+M68+Q68</f>
        <v>5798216.3176000016</v>
      </c>
      <c r="W68" s="63"/>
      <c r="X68" s="5">
        <f>E68+I68</f>
        <v>3264117.8000000007</v>
      </c>
      <c r="Z68" s="63"/>
      <c r="AA68" s="5">
        <f>M68+Q68</f>
        <v>2534098.5176000008</v>
      </c>
      <c r="AC68" s="63"/>
    </row>
    <row r="69" spans="1:29" ht="15.9" customHeight="1">
      <c r="A69" s="19" t="s">
        <v>300</v>
      </c>
      <c r="B69" s="20">
        <v>694195.27733333339</v>
      </c>
      <c r="C69" s="20">
        <v>686560.52533333341</v>
      </c>
      <c r="D69" s="20">
        <v>678925.77333333355</v>
      </c>
      <c r="E69" s="21">
        <f t="shared" si="0"/>
        <v>2059681.5760000004</v>
      </c>
      <c r="F69" s="20">
        <v>765534.0373333334</v>
      </c>
      <c r="G69" s="20">
        <v>765534.0373333334</v>
      </c>
      <c r="H69" s="20">
        <v>737235.54133333359</v>
      </c>
      <c r="I69" s="21">
        <f t="shared" si="1"/>
        <v>2268303.6160000004</v>
      </c>
      <c r="J69" s="20">
        <v>646848.44493333343</v>
      </c>
      <c r="K69" s="20">
        <v>626438.39693333337</v>
      </c>
      <c r="L69" s="20">
        <v>626438.39693333337</v>
      </c>
      <c r="M69" s="21">
        <f t="shared" si="2"/>
        <v>1899725.2388000004</v>
      </c>
      <c r="N69" s="20">
        <v>655250.31426666677</v>
      </c>
      <c r="O69" s="20">
        <v>634947.40226666676</v>
      </c>
      <c r="P69" s="20">
        <v>614644.49026666675</v>
      </c>
      <c r="Q69" s="21">
        <f t="shared" si="3"/>
        <v>1904842.2068000003</v>
      </c>
      <c r="R69" s="22"/>
    </row>
    <row r="70" spans="1:29" ht="15.9" customHeight="1">
      <c r="A70" s="15" t="s">
        <v>299</v>
      </c>
      <c r="B70" s="16"/>
      <c r="C70" s="16"/>
      <c r="D70" s="16"/>
      <c r="E70" s="17"/>
      <c r="F70" s="16"/>
      <c r="G70" s="16"/>
      <c r="H70" s="16"/>
      <c r="I70" s="17"/>
      <c r="J70" s="16"/>
      <c r="K70" s="16"/>
      <c r="L70" s="16"/>
      <c r="M70" s="17"/>
      <c r="N70" s="16"/>
      <c r="O70" s="16"/>
      <c r="P70" s="16"/>
      <c r="Q70" s="17">
        <f>E69+I69+M69+Q69</f>
        <v>8132552.6376000009</v>
      </c>
      <c r="R70" s="18"/>
    </row>
  </sheetData>
  <autoFilter ref="A2:R70" xr:uid="{9B4CD3AC-341A-194B-BD1A-5405F80581D0}"/>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972C8-C0A7-1048-AA32-1ED8CF5B60BB}">
  <dimension ref="A1:AB38"/>
  <sheetViews>
    <sheetView zoomScaleNormal="100" workbookViewId="0">
      <pane xSplit="2" ySplit="2" topLeftCell="C31" activePane="bottomRight" state="frozen"/>
      <selection pane="topRight" activeCell="C1" sqref="C1"/>
      <selection pane="bottomLeft" activeCell="A3" sqref="A3"/>
      <selection pane="bottomRight" activeCell="O40" sqref="O40"/>
    </sheetView>
  </sheetViews>
  <sheetFormatPr defaultColWidth="8.81640625" defaultRowHeight="15"/>
  <cols>
    <col min="1" max="1" width="12.453125" style="27" customWidth="1"/>
    <col min="2" max="2" width="35.36328125" style="27" hidden="1" customWidth="1"/>
    <col min="3" max="3" width="35.36328125" style="27" customWidth="1"/>
    <col min="4" max="5" width="22" style="27" customWidth="1"/>
    <col min="6" max="6" width="22.08984375" style="27" hidden="1" customWidth="1"/>
    <col min="7" max="7" width="22.08984375" style="27" customWidth="1"/>
    <col min="8" max="8" width="22.08984375" style="27" hidden="1" customWidth="1"/>
    <col min="9" max="9" width="22.08984375" style="27" customWidth="1"/>
    <col min="10" max="13" width="22.08984375" style="27" hidden="1" customWidth="1"/>
    <col min="14" max="15" width="22.08984375" style="27" customWidth="1"/>
    <col min="16" max="18" width="22.08984375" style="27" hidden="1" customWidth="1"/>
    <col min="19" max="19" width="14.08984375" style="27" bestFit="1" customWidth="1"/>
    <col min="20" max="20" width="127.6328125" style="27" bestFit="1" customWidth="1"/>
    <col min="21" max="21" width="16.36328125" style="27" hidden="1" customWidth="1"/>
    <col min="22" max="23" width="35.36328125" style="27" bestFit="1" customWidth="1"/>
    <col min="24" max="24" width="35.36328125" style="27" customWidth="1"/>
    <col min="25" max="25" width="22.81640625" style="27" hidden="1" customWidth="1"/>
    <col min="26" max="26" width="35.36328125" style="27" hidden="1" customWidth="1"/>
    <col min="27" max="27" width="16.453125" style="27" hidden="1" customWidth="1"/>
    <col min="28" max="28" width="35.36328125" style="27" hidden="1" customWidth="1"/>
    <col min="29" max="16384" width="8.81640625" style="27"/>
  </cols>
  <sheetData>
    <row r="1" spans="1:28" ht="27.6">
      <c r="A1" s="146" t="s">
        <v>2</v>
      </c>
      <c r="B1" s="146"/>
      <c r="C1" s="146"/>
      <c r="D1" s="146"/>
      <c r="E1" s="25"/>
      <c r="F1" s="25"/>
      <c r="G1" s="25"/>
      <c r="H1" s="25"/>
      <c r="I1" s="25"/>
      <c r="J1" s="25"/>
      <c r="K1" s="25"/>
      <c r="L1" s="25"/>
      <c r="M1" s="25"/>
      <c r="N1" s="25"/>
      <c r="O1" s="25"/>
      <c r="P1" s="25"/>
      <c r="Q1" s="25"/>
      <c r="R1" s="25"/>
      <c r="S1" s="25"/>
      <c r="T1" s="25"/>
      <c r="U1" s="25"/>
      <c r="V1" s="25"/>
      <c r="W1" s="25"/>
      <c r="X1" s="25"/>
      <c r="Y1" s="25"/>
      <c r="Z1" s="25"/>
      <c r="AA1" s="25"/>
      <c r="AB1" s="26"/>
    </row>
    <row r="2" spans="1:28" s="33" customFormat="1" ht="27.6">
      <c r="A2" s="28" t="s">
        <v>66</v>
      </c>
      <c r="B2" s="28" t="s">
        <v>67</v>
      </c>
      <c r="C2" s="57" t="s">
        <v>68</v>
      </c>
      <c r="D2" s="28" t="s">
        <v>69</v>
      </c>
      <c r="E2" s="28" t="s">
        <v>70</v>
      </c>
      <c r="F2" s="29" t="s">
        <v>71</v>
      </c>
      <c r="G2" s="28" t="s">
        <v>72</v>
      </c>
      <c r="H2" s="29" t="s">
        <v>73</v>
      </c>
      <c r="I2" s="28" t="s">
        <v>74</v>
      </c>
      <c r="J2" s="29" t="s">
        <v>3</v>
      </c>
      <c r="K2" s="29" t="s">
        <v>4</v>
      </c>
      <c r="L2" s="30" t="s">
        <v>75</v>
      </c>
      <c r="M2" s="30" t="s">
        <v>76</v>
      </c>
      <c r="N2" s="28" t="s">
        <v>77</v>
      </c>
      <c r="O2" s="28" t="s">
        <v>78</v>
      </c>
      <c r="P2" s="31">
        <v>-0.02</v>
      </c>
      <c r="Q2" s="32" t="s">
        <v>79</v>
      </c>
      <c r="R2" s="32" t="s">
        <v>80</v>
      </c>
      <c r="S2" s="28" t="s">
        <v>81</v>
      </c>
      <c r="T2" s="28" t="s">
        <v>82</v>
      </c>
      <c r="U2" s="28" t="s">
        <v>83</v>
      </c>
      <c r="V2" s="28" t="s">
        <v>84</v>
      </c>
      <c r="W2" s="28" t="s">
        <v>85</v>
      </c>
      <c r="X2" s="28" t="s">
        <v>86</v>
      </c>
      <c r="Y2" s="28" t="s">
        <v>87</v>
      </c>
      <c r="Z2" s="28" t="s">
        <v>88</v>
      </c>
      <c r="AA2" s="28" t="s">
        <v>89</v>
      </c>
      <c r="AB2" s="28" t="s">
        <v>90</v>
      </c>
    </row>
    <row r="3" spans="1:28" s="33" customFormat="1" ht="303.60000000000002">
      <c r="A3" s="34" t="s">
        <v>91</v>
      </c>
      <c r="B3" s="35" t="s">
        <v>92</v>
      </c>
      <c r="C3" s="54" t="str">
        <f t="shared" ref="C3:C37" si="0">A3&amp;" "&amp;B3</f>
        <v>PROJ-3873 Tervise valdkonna metandmestiku ökosüsteemi haldus 2024</v>
      </c>
      <c r="D3" s="54" t="s">
        <v>93</v>
      </c>
      <c r="E3" s="54" t="s">
        <v>94</v>
      </c>
      <c r="F3" s="37">
        <v>210000</v>
      </c>
      <c r="G3" s="37">
        <f>F3+F3*$P$2</f>
        <v>205800</v>
      </c>
      <c r="H3" s="38">
        <f>F3*1.22</f>
        <v>256200</v>
      </c>
      <c r="I3" s="39">
        <f>G3*1.22</f>
        <v>251076</v>
      </c>
      <c r="J3" s="40">
        <v>100000</v>
      </c>
      <c r="K3" s="40">
        <f t="shared" ref="K3:K28" si="1">F3-J3</f>
        <v>110000</v>
      </c>
      <c r="L3" s="40">
        <f t="shared" ref="L3:M28" si="2">J3+J3*$P$2</f>
        <v>98000</v>
      </c>
      <c r="M3" s="40">
        <f t="shared" si="2"/>
        <v>107800</v>
      </c>
      <c r="N3" s="39">
        <f>L3*1.22</f>
        <v>119560</v>
      </c>
      <c r="O3" s="39">
        <f>M3*1.22</f>
        <v>131516</v>
      </c>
      <c r="P3" s="38">
        <f t="shared" ref="P3:P28" si="3">$P$2*F3</f>
        <v>-4200</v>
      </c>
      <c r="Q3" s="41">
        <f>L3/G3</f>
        <v>0.47619047619047616</v>
      </c>
      <c r="R3" s="41">
        <f>M3/G3</f>
        <v>0.52380952380952384</v>
      </c>
      <c r="S3" s="36" t="s">
        <v>81</v>
      </c>
      <c r="T3" s="36" t="s">
        <v>95</v>
      </c>
      <c r="U3" s="42">
        <v>44473</v>
      </c>
      <c r="V3" s="36" t="s">
        <v>96</v>
      </c>
      <c r="W3" s="36"/>
      <c r="X3" s="36"/>
      <c r="Y3" s="35"/>
      <c r="Z3" s="35" t="s">
        <v>97</v>
      </c>
      <c r="AA3" s="35"/>
      <c r="AB3" s="35"/>
    </row>
    <row r="4" spans="1:28" s="33" customFormat="1" ht="124.2">
      <c r="A4" s="43" t="s">
        <v>98</v>
      </c>
      <c r="B4" s="35" t="s">
        <v>99</v>
      </c>
      <c r="C4" s="55" t="str">
        <f t="shared" si="0"/>
        <v>PROJ-3831 Terviseportaali sisuhaldusega maandumislehe arendus 2024</v>
      </c>
      <c r="D4" s="55" t="s">
        <v>305</v>
      </c>
      <c r="E4" s="55" t="s">
        <v>101</v>
      </c>
      <c r="F4" s="44"/>
      <c r="G4" s="44">
        <f t="shared" ref="G4:G37" si="4">F4+F4*$P$2</f>
        <v>0</v>
      </c>
      <c r="H4" s="38">
        <f t="shared" ref="H4:H37" si="5">F4*1.22</f>
        <v>0</v>
      </c>
      <c r="I4" s="45">
        <f t="shared" ref="I4:I37" si="6">H4+P4*1.22</f>
        <v>0</v>
      </c>
      <c r="J4" s="40"/>
      <c r="K4" s="40">
        <f t="shared" si="1"/>
        <v>0</v>
      </c>
      <c r="L4" s="40">
        <f t="shared" si="2"/>
        <v>0</v>
      </c>
      <c r="M4" s="40">
        <f t="shared" si="2"/>
        <v>0</v>
      </c>
      <c r="N4" s="45">
        <f t="shared" ref="N4:O34" si="7">L4*1.22</f>
        <v>0</v>
      </c>
      <c r="O4" s="45">
        <f t="shared" si="7"/>
        <v>0</v>
      </c>
      <c r="P4" s="38">
        <f t="shared" si="3"/>
        <v>0</v>
      </c>
      <c r="Q4" s="41" t="e">
        <f t="shared" ref="Q4:Q37" si="8">L4/G4</f>
        <v>#DIV/0!</v>
      </c>
      <c r="R4" s="41" t="e">
        <f t="shared" ref="R4:R37" si="9">M4/G4</f>
        <v>#DIV/0!</v>
      </c>
      <c r="S4" s="44" t="s">
        <v>81</v>
      </c>
      <c r="T4" s="44" t="s">
        <v>102</v>
      </c>
      <c r="U4" s="42">
        <v>45322</v>
      </c>
      <c r="V4" s="44" t="s">
        <v>103</v>
      </c>
      <c r="W4" s="44"/>
      <c r="X4" s="44"/>
      <c r="Y4" s="35"/>
      <c r="Z4" s="35" t="s">
        <v>104</v>
      </c>
      <c r="AA4" s="35" t="s">
        <v>105</v>
      </c>
      <c r="AB4" s="35"/>
    </row>
    <row r="5" spans="1:28" s="33" customFormat="1" ht="69">
      <c r="A5" s="34" t="s">
        <v>106</v>
      </c>
      <c r="B5" s="35" t="s">
        <v>107</v>
      </c>
      <c r="C5" s="54" t="str">
        <f t="shared" si="0"/>
        <v>PROJ-3825 ÜDR kasutajaliidese arendustööd Terviseportaalis 2024</v>
      </c>
      <c r="D5" s="54" t="s">
        <v>100</v>
      </c>
      <c r="E5" s="54" t="s">
        <v>101</v>
      </c>
      <c r="F5" s="36">
        <v>262646</v>
      </c>
      <c r="G5" s="36">
        <f t="shared" si="4"/>
        <v>257393.08</v>
      </c>
      <c r="H5" s="38">
        <f t="shared" si="5"/>
        <v>320428.12</v>
      </c>
      <c r="I5" s="39">
        <f t="shared" si="6"/>
        <v>314019.5576</v>
      </c>
      <c r="J5" s="40">
        <v>200000</v>
      </c>
      <c r="K5" s="40">
        <f t="shared" si="1"/>
        <v>62646</v>
      </c>
      <c r="L5" s="40">
        <f t="shared" si="2"/>
        <v>196000</v>
      </c>
      <c r="M5" s="40">
        <f t="shared" si="2"/>
        <v>61393.08</v>
      </c>
      <c r="N5" s="39">
        <f t="shared" si="7"/>
        <v>239120</v>
      </c>
      <c r="O5" s="39">
        <f t="shared" si="7"/>
        <v>74899.5576</v>
      </c>
      <c r="P5" s="38">
        <f t="shared" si="3"/>
        <v>-5252.92</v>
      </c>
      <c r="Q5" s="41">
        <f t="shared" si="8"/>
        <v>0.7614812332950055</v>
      </c>
      <c r="R5" s="41">
        <f t="shared" si="9"/>
        <v>0.23851876670499458</v>
      </c>
      <c r="S5" s="36" t="s">
        <v>81</v>
      </c>
      <c r="T5" s="36" t="s">
        <v>108</v>
      </c>
      <c r="U5" s="42">
        <v>45292</v>
      </c>
      <c r="V5" s="36" t="s">
        <v>109</v>
      </c>
      <c r="W5" s="36"/>
      <c r="X5" s="36"/>
      <c r="Y5" s="35"/>
      <c r="Z5" s="35" t="s">
        <v>110</v>
      </c>
      <c r="AA5" s="35" t="s">
        <v>105</v>
      </c>
      <c r="AB5" s="35"/>
    </row>
    <row r="6" spans="1:28" s="33" customFormat="1" ht="409.6">
      <c r="A6" s="43" t="s">
        <v>111</v>
      </c>
      <c r="B6" s="35" t="s">
        <v>112</v>
      </c>
      <c r="C6" s="55" t="str">
        <f t="shared" si="0"/>
        <v>PROJ-3816 Perearsti kvaliteedisüsteemi (PKS) IT lahendus</v>
      </c>
      <c r="D6" s="55" t="s">
        <v>113</v>
      </c>
      <c r="E6" s="55" t="s">
        <v>301</v>
      </c>
      <c r="F6" s="44"/>
      <c r="G6" s="44">
        <f t="shared" si="4"/>
        <v>0</v>
      </c>
      <c r="H6" s="38">
        <f t="shared" si="5"/>
        <v>0</v>
      </c>
      <c r="I6" s="45">
        <f t="shared" si="6"/>
        <v>0</v>
      </c>
      <c r="J6" s="40"/>
      <c r="K6" s="40">
        <f t="shared" si="1"/>
        <v>0</v>
      </c>
      <c r="L6" s="40">
        <f t="shared" si="2"/>
        <v>0</v>
      </c>
      <c r="M6" s="40">
        <f t="shared" si="2"/>
        <v>0</v>
      </c>
      <c r="N6" s="45">
        <f t="shared" si="7"/>
        <v>0</v>
      </c>
      <c r="O6" s="45">
        <f t="shared" si="7"/>
        <v>0</v>
      </c>
      <c r="P6" s="38">
        <f t="shared" si="3"/>
        <v>0</v>
      </c>
      <c r="Q6" s="41" t="e">
        <f t="shared" si="8"/>
        <v>#DIV/0!</v>
      </c>
      <c r="R6" s="41" t="e">
        <f t="shared" si="9"/>
        <v>#DIV/0!</v>
      </c>
      <c r="S6" s="44" t="s">
        <v>81</v>
      </c>
      <c r="T6" s="44"/>
      <c r="U6" s="35"/>
      <c r="V6" s="44"/>
      <c r="W6" s="44"/>
      <c r="X6" s="44"/>
      <c r="Y6" s="35"/>
      <c r="Z6" s="35"/>
      <c r="AA6" s="35"/>
      <c r="AB6" s="35" t="s">
        <v>114</v>
      </c>
    </row>
    <row r="7" spans="1:28" s="33" customFormat="1" ht="27.6">
      <c r="A7" s="34" t="s">
        <v>115</v>
      </c>
      <c r="B7" s="35" t="s">
        <v>116</v>
      </c>
      <c r="C7" s="54" t="str">
        <f t="shared" si="0"/>
        <v>PROJ-3806 Tervisekassa andmelao loomine TEHIKusse</v>
      </c>
      <c r="D7" s="54" t="s">
        <v>117</v>
      </c>
      <c r="E7" s="54" t="s">
        <v>302</v>
      </c>
      <c r="F7" s="36">
        <v>300000</v>
      </c>
      <c r="G7" s="67">
        <f t="shared" si="4"/>
        <v>294000</v>
      </c>
      <c r="H7" s="38">
        <f t="shared" si="5"/>
        <v>366000</v>
      </c>
      <c r="I7" s="39">
        <f t="shared" si="6"/>
        <v>358680</v>
      </c>
      <c r="J7" s="40">
        <v>88986</v>
      </c>
      <c r="K7" s="40">
        <f t="shared" si="1"/>
        <v>211014</v>
      </c>
      <c r="L7" s="40">
        <f t="shared" si="2"/>
        <v>87206.28</v>
      </c>
      <c r="M7" s="40">
        <f t="shared" si="2"/>
        <v>206793.72</v>
      </c>
      <c r="N7" s="39">
        <f t="shared" si="7"/>
        <v>106391.66159999999</v>
      </c>
      <c r="O7" s="39">
        <f t="shared" si="7"/>
        <v>252288.33840000001</v>
      </c>
      <c r="P7" s="38">
        <f>$P$2*F7</f>
        <v>-6000</v>
      </c>
      <c r="Q7" s="41">
        <f t="shared" si="8"/>
        <v>0.29661999999999999</v>
      </c>
      <c r="R7" s="41">
        <f t="shared" si="9"/>
        <v>0.70338000000000001</v>
      </c>
      <c r="S7" s="36" t="s">
        <v>81</v>
      </c>
      <c r="T7" s="36"/>
      <c r="U7" s="35"/>
      <c r="V7" s="36"/>
      <c r="W7" s="36"/>
      <c r="X7" s="36"/>
      <c r="Y7" s="35"/>
      <c r="Z7" s="35"/>
      <c r="AA7" s="35"/>
      <c r="AB7" s="35"/>
    </row>
    <row r="8" spans="1:28" s="33" customFormat="1" ht="41.4">
      <c r="A8" s="46" t="s">
        <v>118</v>
      </c>
      <c r="B8" s="35" t="s">
        <v>119</v>
      </c>
      <c r="C8" s="56" t="str">
        <f t="shared" si="0"/>
        <v>PROJ-3708 Andmeladude poolsed tööd seoses terviseandmete migreerimisega upTIS platvormile</v>
      </c>
      <c r="D8" s="56" t="s">
        <v>117</v>
      </c>
      <c r="E8" s="56" t="s">
        <v>142</v>
      </c>
      <c r="F8" s="48">
        <v>105000</v>
      </c>
      <c r="G8" s="48">
        <f t="shared" si="4"/>
        <v>102900</v>
      </c>
      <c r="H8" s="38">
        <f t="shared" si="5"/>
        <v>128100</v>
      </c>
      <c r="I8" s="49">
        <f t="shared" si="6"/>
        <v>125538</v>
      </c>
      <c r="J8" s="40">
        <v>0</v>
      </c>
      <c r="K8" s="40">
        <f t="shared" si="1"/>
        <v>105000</v>
      </c>
      <c r="L8" s="40">
        <f t="shared" si="2"/>
        <v>0</v>
      </c>
      <c r="M8" s="40">
        <f t="shared" si="2"/>
        <v>102900</v>
      </c>
      <c r="N8" s="49">
        <f t="shared" si="7"/>
        <v>0</v>
      </c>
      <c r="O8" s="49">
        <f t="shared" si="7"/>
        <v>125538</v>
      </c>
      <c r="P8" s="38">
        <f>$P$2*F8</f>
        <v>-2100</v>
      </c>
      <c r="Q8" s="41">
        <f t="shared" si="8"/>
        <v>0</v>
      </c>
      <c r="R8" s="41">
        <f t="shared" si="9"/>
        <v>1</v>
      </c>
      <c r="S8" s="47" t="s">
        <v>81</v>
      </c>
      <c r="T8" s="47" t="s">
        <v>120</v>
      </c>
      <c r="U8" s="35"/>
      <c r="V8" s="47" t="s">
        <v>121</v>
      </c>
      <c r="W8" s="47"/>
      <c r="X8" s="47"/>
      <c r="Y8" s="35" t="s">
        <v>122</v>
      </c>
      <c r="Z8" s="35" t="s">
        <v>123</v>
      </c>
      <c r="AA8" s="35"/>
      <c r="AB8" s="35"/>
    </row>
    <row r="9" spans="1:28" s="33" customFormat="1" ht="220.8">
      <c r="A9" s="34" t="s">
        <v>124</v>
      </c>
      <c r="B9" s="35" t="s">
        <v>125</v>
      </c>
      <c r="C9" s="54" t="str">
        <f t="shared" si="0"/>
        <v>PROJ-3500 FHIR haldus ja profileerimine 2024</v>
      </c>
      <c r="D9" s="54" t="s">
        <v>126</v>
      </c>
      <c r="E9" s="54" t="s">
        <v>94</v>
      </c>
      <c r="F9" s="37">
        <v>30000</v>
      </c>
      <c r="G9" s="37">
        <f t="shared" si="4"/>
        <v>29400</v>
      </c>
      <c r="H9" s="38">
        <f t="shared" si="5"/>
        <v>36600</v>
      </c>
      <c r="I9" s="39">
        <f t="shared" si="6"/>
        <v>35868</v>
      </c>
      <c r="J9" s="40">
        <v>30000</v>
      </c>
      <c r="K9" s="40">
        <f t="shared" si="1"/>
        <v>0</v>
      </c>
      <c r="L9" s="40">
        <f t="shared" si="2"/>
        <v>29400</v>
      </c>
      <c r="M9" s="40">
        <f t="shared" si="2"/>
        <v>0</v>
      </c>
      <c r="N9" s="39">
        <f t="shared" si="7"/>
        <v>35868</v>
      </c>
      <c r="O9" s="39">
        <f t="shared" si="7"/>
        <v>0</v>
      </c>
      <c r="P9" s="38">
        <f>$P$2*F9</f>
        <v>-600</v>
      </c>
      <c r="Q9" s="41">
        <f t="shared" si="8"/>
        <v>1</v>
      </c>
      <c r="R9" s="41">
        <f t="shared" si="9"/>
        <v>0</v>
      </c>
      <c r="S9" s="36" t="s">
        <v>81</v>
      </c>
      <c r="T9" s="36" t="s">
        <v>127</v>
      </c>
      <c r="U9" s="42">
        <v>45292</v>
      </c>
      <c r="V9" s="36" t="s">
        <v>128</v>
      </c>
      <c r="W9" s="36"/>
      <c r="X9" s="36"/>
      <c r="Y9" s="35"/>
      <c r="Z9" s="35" t="s">
        <v>1</v>
      </c>
      <c r="AA9" s="35"/>
      <c r="AB9" s="35"/>
    </row>
    <row r="10" spans="1:28" s="33" customFormat="1" ht="82.8">
      <c r="A10" s="34" t="s">
        <v>129</v>
      </c>
      <c r="B10" s="35" t="s">
        <v>130</v>
      </c>
      <c r="C10" s="54" t="str">
        <f t="shared" si="0"/>
        <v>PROJ-3793 Patsiendi üldandmete teenuse jätkuarendustööd (2024)</v>
      </c>
      <c r="D10" s="54" t="s">
        <v>131</v>
      </c>
      <c r="E10" s="54" t="s">
        <v>142</v>
      </c>
      <c r="F10" s="37">
        <v>50000</v>
      </c>
      <c r="G10" s="37">
        <f t="shared" si="4"/>
        <v>49000</v>
      </c>
      <c r="H10" s="38">
        <f t="shared" si="5"/>
        <v>61000</v>
      </c>
      <c r="I10" s="39">
        <f t="shared" si="6"/>
        <v>59780</v>
      </c>
      <c r="J10" s="40">
        <v>50000</v>
      </c>
      <c r="K10" s="40">
        <f t="shared" si="1"/>
        <v>0</v>
      </c>
      <c r="L10" s="40">
        <f t="shared" si="2"/>
        <v>49000</v>
      </c>
      <c r="M10" s="40">
        <f t="shared" si="2"/>
        <v>0</v>
      </c>
      <c r="N10" s="39">
        <f t="shared" si="7"/>
        <v>59780</v>
      </c>
      <c r="O10" s="39">
        <f t="shared" si="7"/>
        <v>0</v>
      </c>
      <c r="P10" s="38">
        <f t="shared" si="3"/>
        <v>-1000</v>
      </c>
      <c r="Q10" s="41">
        <f t="shared" si="8"/>
        <v>1</v>
      </c>
      <c r="R10" s="41">
        <f t="shared" si="9"/>
        <v>0</v>
      </c>
      <c r="S10" s="36" t="s">
        <v>133</v>
      </c>
      <c r="T10" s="36" t="s">
        <v>134</v>
      </c>
      <c r="U10" s="35"/>
      <c r="V10" s="36" t="s">
        <v>135</v>
      </c>
      <c r="W10" s="36" t="s">
        <v>136</v>
      </c>
      <c r="X10" s="36" t="s">
        <v>136</v>
      </c>
      <c r="Y10" s="35" t="s">
        <v>137</v>
      </c>
      <c r="Z10" s="35" t="s">
        <v>138</v>
      </c>
      <c r="AA10" s="35"/>
      <c r="AB10" s="35" t="s">
        <v>139</v>
      </c>
    </row>
    <row r="11" spans="1:28" s="33" customFormat="1" ht="262.2">
      <c r="A11" s="34" t="s">
        <v>140</v>
      </c>
      <c r="B11" s="35" t="s">
        <v>141</v>
      </c>
      <c r="C11" s="54" t="str">
        <f t="shared" si="0"/>
        <v>PROJ-3758 Sündmuspõhise andmevahetuse raames teenuste loomist ja kasutuselevõtmist toetava kompetentsi tõstmine</v>
      </c>
      <c r="D11" s="54" t="s">
        <v>234</v>
      </c>
      <c r="E11" s="54" t="s">
        <v>132</v>
      </c>
      <c r="F11" s="37">
        <v>100000</v>
      </c>
      <c r="G11" s="37">
        <f t="shared" si="4"/>
        <v>98000</v>
      </c>
      <c r="H11" s="38">
        <f t="shared" si="5"/>
        <v>122000</v>
      </c>
      <c r="I11" s="39">
        <f t="shared" si="6"/>
        <v>119560</v>
      </c>
      <c r="J11" s="40">
        <v>50000</v>
      </c>
      <c r="K11" s="40">
        <f t="shared" si="1"/>
        <v>50000</v>
      </c>
      <c r="L11" s="40">
        <f t="shared" si="2"/>
        <v>49000</v>
      </c>
      <c r="M11" s="40">
        <f t="shared" si="2"/>
        <v>49000</v>
      </c>
      <c r="N11" s="39">
        <f t="shared" si="7"/>
        <v>59780</v>
      </c>
      <c r="O11" s="39">
        <f t="shared" si="7"/>
        <v>59780</v>
      </c>
      <c r="P11" s="38">
        <f t="shared" si="3"/>
        <v>-2000</v>
      </c>
      <c r="Q11" s="41">
        <f t="shared" si="8"/>
        <v>0.5</v>
      </c>
      <c r="R11" s="41">
        <f t="shared" si="9"/>
        <v>0.5</v>
      </c>
      <c r="S11" s="36" t="s">
        <v>81</v>
      </c>
      <c r="T11" s="36" t="s">
        <v>143</v>
      </c>
      <c r="U11" s="42">
        <v>45293</v>
      </c>
      <c r="V11" s="36" t="s">
        <v>144</v>
      </c>
      <c r="W11" s="36"/>
      <c r="X11" s="36"/>
      <c r="Y11" s="35" t="s">
        <v>122</v>
      </c>
      <c r="Z11" s="35"/>
      <c r="AA11" s="35"/>
      <c r="AB11" s="35" t="s">
        <v>145</v>
      </c>
    </row>
    <row r="12" spans="1:28" s="33" customFormat="1" ht="69">
      <c r="A12" s="46" t="s">
        <v>146</v>
      </c>
      <c r="B12" s="35" t="s">
        <v>0</v>
      </c>
      <c r="C12" s="56" t="str">
        <f t="shared" si="0"/>
        <v>PROJ-3668 Otsusetoe andmekoonduri arendus seoses TIS dokumentide viimisega uuele platvormile</v>
      </c>
      <c r="D12" s="56" t="s">
        <v>131</v>
      </c>
      <c r="E12" s="56" t="s">
        <v>142</v>
      </c>
      <c r="F12" s="48">
        <v>30000</v>
      </c>
      <c r="G12" s="48">
        <f t="shared" si="4"/>
        <v>29400</v>
      </c>
      <c r="H12" s="38">
        <f t="shared" si="5"/>
        <v>36600</v>
      </c>
      <c r="I12" s="49">
        <f t="shared" si="6"/>
        <v>35868</v>
      </c>
      <c r="J12" s="40">
        <v>0</v>
      </c>
      <c r="K12" s="40">
        <f t="shared" si="1"/>
        <v>30000</v>
      </c>
      <c r="L12" s="40">
        <f t="shared" si="2"/>
        <v>0</v>
      </c>
      <c r="M12" s="40">
        <f t="shared" si="2"/>
        <v>29400</v>
      </c>
      <c r="N12" s="49">
        <f t="shared" si="7"/>
        <v>0</v>
      </c>
      <c r="O12" s="49">
        <f t="shared" si="7"/>
        <v>35868</v>
      </c>
      <c r="P12" s="38">
        <f t="shared" si="3"/>
        <v>-600</v>
      </c>
      <c r="Q12" s="41">
        <f t="shared" si="8"/>
        <v>0</v>
      </c>
      <c r="R12" s="41">
        <f t="shared" si="9"/>
        <v>1</v>
      </c>
      <c r="S12" s="47" t="s">
        <v>81</v>
      </c>
      <c r="T12" s="47" t="s">
        <v>147</v>
      </c>
      <c r="U12" s="35"/>
      <c r="V12" s="47" t="s">
        <v>148</v>
      </c>
      <c r="W12" s="47"/>
      <c r="X12" s="47"/>
      <c r="Y12" s="35" t="s">
        <v>122</v>
      </c>
      <c r="Z12" s="35" t="s">
        <v>149</v>
      </c>
      <c r="AA12" s="35"/>
      <c r="AB12" s="35"/>
    </row>
    <row r="13" spans="1:28" s="33" customFormat="1" ht="41.4">
      <c r="A13" s="34" t="s">
        <v>150</v>
      </c>
      <c r="B13" s="35" t="s">
        <v>151</v>
      </c>
      <c r="C13" s="54" t="str">
        <f t="shared" si="0"/>
        <v>PROJ-3667 Tervisetõendite funktsionaalsuse üleviimine uuele platvormile (lõpetamine)</v>
      </c>
      <c r="D13" s="54" t="s">
        <v>131</v>
      </c>
      <c r="E13" s="54" t="s">
        <v>142</v>
      </c>
      <c r="F13" s="37">
        <v>30000</v>
      </c>
      <c r="G13" s="37">
        <f t="shared" si="4"/>
        <v>29400</v>
      </c>
      <c r="H13" s="38">
        <f t="shared" si="5"/>
        <v>36600</v>
      </c>
      <c r="I13" s="39">
        <f t="shared" si="6"/>
        <v>35868</v>
      </c>
      <c r="J13" s="40">
        <v>30000</v>
      </c>
      <c r="K13" s="40">
        <f t="shared" si="1"/>
        <v>0</v>
      </c>
      <c r="L13" s="40">
        <f t="shared" si="2"/>
        <v>29400</v>
      </c>
      <c r="M13" s="40">
        <f t="shared" si="2"/>
        <v>0</v>
      </c>
      <c r="N13" s="39">
        <f t="shared" si="7"/>
        <v>35868</v>
      </c>
      <c r="O13" s="39">
        <f t="shared" si="7"/>
        <v>0</v>
      </c>
      <c r="P13" s="38">
        <f t="shared" si="3"/>
        <v>-600</v>
      </c>
      <c r="Q13" s="41">
        <f t="shared" si="8"/>
        <v>1</v>
      </c>
      <c r="R13" s="41">
        <f t="shared" si="9"/>
        <v>0</v>
      </c>
      <c r="S13" s="36" t="s">
        <v>133</v>
      </c>
      <c r="T13" s="36" t="s">
        <v>152</v>
      </c>
      <c r="U13" s="35"/>
      <c r="V13" s="36" t="s">
        <v>153</v>
      </c>
      <c r="W13" s="36" t="s">
        <v>154</v>
      </c>
      <c r="X13" s="36" t="s">
        <v>154</v>
      </c>
      <c r="Y13" s="35" t="s">
        <v>122</v>
      </c>
      <c r="Z13" s="35"/>
      <c r="AA13" s="35" t="s">
        <v>155</v>
      </c>
      <c r="AB13" s="35"/>
    </row>
    <row r="14" spans="1:28" s="33" customFormat="1" ht="27.6">
      <c r="A14" s="46" t="s">
        <v>156</v>
      </c>
      <c r="B14" s="35" t="s">
        <v>157</v>
      </c>
      <c r="C14" s="56" t="str">
        <f t="shared" si="0"/>
        <v>PROJ-3631 Haiglaravimite digitaliseerimine (2024)</v>
      </c>
      <c r="D14" s="56" t="s">
        <v>158</v>
      </c>
      <c r="E14" s="56" t="s">
        <v>303</v>
      </c>
      <c r="F14" s="48">
        <v>200000</v>
      </c>
      <c r="G14" s="48">
        <f t="shared" si="4"/>
        <v>196000</v>
      </c>
      <c r="H14" s="38">
        <f t="shared" si="5"/>
        <v>244000</v>
      </c>
      <c r="I14" s="49">
        <f t="shared" si="6"/>
        <v>239120</v>
      </c>
      <c r="J14" s="40">
        <v>0</v>
      </c>
      <c r="K14" s="40">
        <f t="shared" si="1"/>
        <v>200000</v>
      </c>
      <c r="L14" s="40">
        <f t="shared" si="2"/>
        <v>0</v>
      </c>
      <c r="M14" s="40">
        <f t="shared" si="2"/>
        <v>196000</v>
      </c>
      <c r="N14" s="49">
        <f t="shared" si="7"/>
        <v>0</v>
      </c>
      <c r="O14" s="49">
        <f t="shared" si="7"/>
        <v>239120</v>
      </c>
      <c r="P14" s="38">
        <f t="shared" si="3"/>
        <v>-4000</v>
      </c>
      <c r="Q14" s="41">
        <f t="shared" si="8"/>
        <v>0</v>
      </c>
      <c r="R14" s="41">
        <f t="shared" si="9"/>
        <v>1</v>
      </c>
      <c r="S14" s="47" t="s">
        <v>133</v>
      </c>
      <c r="T14" s="47" t="s">
        <v>159</v>
      </c>
      <c r="U14" s="35"/>
      <c r="V14" s="47" t="s">
        <v>160</v>
      </c>
      <c r="W14" s="47" t="s">
        <v>161</v>
      </c>
      <c r="X14" s="47" t="s">
        <v>162</v>
      </c>
      <c r="Y14" s="35" t="s">
        <v>122</v>
      </c>
      <c r="Z14" s="35"/>
      <c r="AA14" s="35"/>
      <c r="AB14" s="35"/>
    </row>
    <row r="15" spans="1:28" s="33" customFormat="1" ht="96.6">
      <c r="A15" s="34" t="s">
        <v>163</v>
      </c>
      <c r="B15" s="35" t="s">
        <v>164</v>
      </c>
      <c r="C15" s="54" t="str">
        <f t="shared" si="0"/>
        <v>PROJ-3622 Ravimiskeemi mikroteenus tervisejuhtimise töölaual (2024)</v>
      </c>
      <c r="D15" s="54" t="s">
        <v>158</v>
      </c>
      <c r="E15" s="54" t="s">
        <v>165</v>
      </c>
      <c r="F15" s="37">
        <v>400000</v>
      </c>
      <c r="G15" s="37">
        <f t="shared" si="4"/>
        <v>392000</v>
      </c>
      <c r="H15" s="38">
        <f t="shared" si="5"/>
        <v>488000</v>
      </c>
      <c r="I15" s="39">
        <f t="shared" si="6"/>
        <v>478240</v>
      </c>
      <c r="J15" s="40">
        <v>300000</v>
      </c>
      <c r="K15" s="40">
        <f t="shared" si="1"/>
        <v>100000</v>
      </c>
      <c r="L15" s="40">
        <f t="shared" si="2"/>
        <v>294000</v>
      </c>
      <c r="M15" s="40">
        <f t="shared" si="2"/>
        <v>98000</v>
      </c>
      <c r="N15" s="39">
        <f t="shared" si="7"/>
        <v>358680</v>
      </c>
      <c r="O15" s="39">
        <f t="shared" si="7"/>
        <v>119560</v>
      </c>
      <c r="P15" s="38">
        <f t="shared" si="3"/>
        <v>-8000</v>
      </c>
      <c r="Q15" s="41">
        <f t="shared" si="8"/>
        <v>0.75</v>
      </c>
      <c r="R15" s="41">
        <f t="shared" si="9"/>
        <v>0.25</v>
      </c>
      <c r="S15" s="36" t="s">
        <v>81</v>
      </c>
      <c r="T15" s="36" t="s">
        <v>166</v>
      </c>
      <c r="U15" s="35"/>
      <c r="V15" s="36" t="s">
        <v>167</v>
      </c>
      <c r="W15" s="36" t="s">
        <v>168</v>
      </c>
      <c r="X15" s="36" t="s">
        <v>169</v>
      </c>
      <c r="Y15" s="35" t="s">
        <v>122</v>
      </c>
      <c r="Z15" s="35" t="s">
        <v>170</v>
      </c>
      <c r="AA15" s="35"/>
      <c r="AB15" s="35"/>
    </row>
    <row r="16" spans="1:28" s="33" customFormat="1" ht="193.2">
      <c r="A16" s="34" t="s">
        <v>171</v>
      </c>
      <c r="B16" s="35" t="s">
        <v>172</v>
      </c>
      <c r="C16" s="54" t="str">
        <f t="shared" si="0"/>
        <v>PROJ-3620 Andmevaaturi ületoomine TJT-sse (2024)</v>
      </c>
      <c r="D16" s="54" t="s">
        <v>158</v>
      </c>
      <c r="E16" s="54" t="s">
        <v>165</v>
      </c>
      <c r="F16" s="37">
        <v>500000</v>
      </c>
      <c r="G16" s="37">
        <f t="shared" si="4"/>
        <v>490000</v>
      </c>
      <c r="H16" s="38">
        <f t="shared" si="5"/>
        <v>610000</v>
      </c>
      <c r="I16" s="39">
        <f t="shared" si="6"/>
        <v>597800</v>
      </c>
      <c r="J16" s="40">
        <v>300000</v>
      </c>
      <c r="K16" s="40">
        <f t="shared" si="1"/>
        <v>200000</v>
      </c>
      <c r="L16" s="40">
        <f t="shared" si="2"/>
        <v>294000</v>
      </c>
      <c r="M16" s="40">
        <f t="shared" si="2"/>
        <v>196000</v>
      </c>
      <c r="N16" s="39">
        <f t="shared" si="7"/>
        <v>358680</v>
      </c>
      <c r="O16" s="39">
        <f t="shared" si="7"/>
        <v>239120</v>
      </c>
      <c r="P16" s="38">
        <f t="shared" si="3"/>
        <v>-10000</v>
      </c>
      <c r="Q16" s="41">
        <f t="shared" si="8"/>
        <v>0.6</v>
      </c>
      <c r="R16" s="41">
        <f t="shared" si="9"/>
        <v>0.4</v>
      </c>
      <c r="S16" s="36" t="s">
        <v>133</v>
      </c>
      <c r="T16" s="36" t="s">
        <v>173</v>
      </c>
      <c r="U16" s="35"/>
      <c r="V16" s="36" t="s">
        <v>174</v>
      </c>
      <c r="W16" s="36" t="s">
        <v>175</v>
      </c>
      <c r="X16" s="36" t="s">
        <v>176</v>
      </c>
      <c r="Y16" s="35" t="s">
        <v>122</v>
      </c>
      <c r="Z16" s="35"/>
      <c r="AA16" s="35"/>
      <c r="AB16" s="35"/>
    </row>
    <row r="17" spans="1:28" s="33" customFormat="1" ht="82.8">
      <c r="A17" s="43" t="s">
        <v>177</v>
      </c>
      <c r="B17" s="35" t="s">
        <v>178</v>
      </c>
      <c r="C17" s="55" t="str">
        <f t="shared" si="0"/>
        <v>PROJ-3619 Valmisoleku loomine struktureeritud vähiandmete kogumiseks tervise infosüsteemi</v>
      </c>
      <c r="D17" s="55" t="s">
        <v>179</v>
      </c>
      <c r="E17" s="55" t="s">
        <v>142</v>
      </c>
      <c r="F17" s="44"/>
      <c r="G17" s="44">
        <f t="shared" si="4"/>
        <v>0</v>
      </c>
      <c r="H17" s="38">
        <f t="shared" si="5"/>
        <v>0</v>
      </c>
      <c r="I17" s="45">
        <f t="shared" si="6"/>
        <v>0</v>
      </c>
      <c r="J17" s="40"/>
      <c r="K17" s="40">
        <f t="shared" si="1"/>
        <v>0</v>
      </c>
      <c r="L17" s="40">
        <f t="shared" si="2"/>
        <v>0</v>
      </c>
      <c r="M17" s="40">
        <f t="shared" si="2"/>
        <v>0</v>
      </c>
      <c r="N17" s="45">
        <f t="shared" si="7"/>
        <v>0</v>
      </c>
      <c r="O17" s="45">
        <f t="shared" si="7"/>
        <v>0</v>
      </c>
      <c r="P17" s="38">
        <f t="shared" si="3"/>
        <v>0</v>
      </c>
      <c r="Q17" s="41" t="e">
        <f t="shared" si="8"/>
        <v>#DIV/0!</v>
      </c>
      <c r="R17" s="41" t="e">
        <f t="shared" si="9"/>
        <v>#DIV/0!</v>
      </c>
      <c r="S17" s="44" t="s">
        <v>81</v>
      </c>
      <c r="T17" s="44" t="s">
        <v>180</v>
      </c>
      <c r="U17" s="42">
        <v>45180</v>
      </c>
      <c r="V17" s="44" t="s">
        <v>181</v>
      </c>
      <c r="W17" s="44" t="s">
        <v>182</v>
      </c>
      <c r="X17" s="44" t="s">
        <v>183</v>
      </c>
      <c r="Y17" s="35"/>
      <c r="Z17" s="35"/>
      <c r="AA17" s="35"/>
      <c r="AB17" s="35"/>
    </row>
    <row r="18" spans="1:28" s="33" customFormat="1" ht="55.2">
      <c r="A18" s="43" t="s">
        <v>184</v>
      </c>
      <c r="B18" s="35" t="s">
        <v>185</v>
      </c>
      <c r="C18" s="55" t="str">
        <f t="shared" si="0"/>
        <v>PROJ-3618 Strateegia väljatöötamine registrite TIS andmekasutuse-põhiseks viimiseks</v>
      </c>
      <c r="D18" s="55" t="s">
        <v>179</v>
      </c>
      <c r="E18" s="55" t="s">
        <v>142</v>
      </c>
      <c r="F18" s="44"/>
      <c r="G18" s="44">
        <f t="shared" si="4"/>
        <v>0</v>
      </c>
      <c r="H18" s="38">
        <f t="shared" si="5"/>
        <v>0</v>
      </c>
      <c r="I18" s="45">
        <f t="shared" si="6"/>
        <v>0</v>
      </c>
      <c r="J18" s="40"/>
      <c r="K18" s="40">
        <f t="shared" si="1"/>
        <v>0</v>
      </c>
      <c r="L18" s="40">
        <f t="shared" si="2"/>
        <v>0</v>
      </c>
      <c r="M18" s="40">
        <f t="shared" si="2"/>
        <v>0</v>
      </c>
      <c r="N18" s="45">
        <f t="shared" si="7"/>
        <v>0</v>
      </c>
      <c r="O18" s="45">
        <f t="shared" si="7"/>
        <v>0</v>
      </c>
      <c r="P18" s="38">
        <f t="shared" si="3"/>
        <v>0</v>
      </c>
      <c r="Q18" s="41" t="e">
        <f t="shared" si="8"/>
        <v>#DIV/0!</v>
      </c>
      <c r="R18" s="41" t="e">
        <f t="shared" si="9"/>
        <v>#DIV/0!</v>
      </c>
      <c r="S18" s="44"/>
      <c r="T18" s="44" t="s">
        <v>186</v>
      </c>
      <c r="U18" s="42">
        <v>45180</v>
      </c>
      <c r="V18" s="44" t="s">
        <v>187</v>
      </c>
      <c r="W18" s="44" t="s">
        <v>188</v>
      </c>
      <c r="X18" s="44" t="s">
        <v>189</v>
      </c>
      <c r="Y18" s="35" t="s">
        <v>122</v>
      </c>
      <c r="Z18" s="35"/>
      <c r="AA18" s="35"/>
      <c r="AB18" s="35"/>
    </row>
    <row r="19" spans="1:28" s="33" customFormat="1" ht="110.4">
      <c r="A19" s="34" t="s">
        <v>190</v>
      </c>
      <c r="B19" s="35" t="s">
        <v>191</v>
      </c>
      <c r="C19" s="54" t="str">
        <f t="shared" si="0"/>
        <v>PROJ-3616 TIS WM platvormilt uue eKiirabi lahenduse jaoks vajalike WM pakettide üle viimine mikroteenuste platvormile</v>
      </c>
      <c r="D19" s="54" t="s">
        <v>131</v>
      </c>
      <c r="E19" s="54" t="s">
        <v>142</v>
      </c>
      <c r="F19" s="37">
        <v>79500</v>
      </c>
      <c r="G19" s="37">
        <f t="shared" si="4"/>
        <v>77910</v>
      </c>
      <c r="H19" s="38">
        <f t="shared" si="5"/>
        <v>96990</v>
      </c>
      <c r="I19" s="39">
        <f t="shared" si="6"/>
        <v>95050.2</v>
      </c>
      <c r="J19" s="40">
        <v>10000</v>
      </c>
      <c r="K19" s="40">
        <f t="shared" si="1"/>
        <v>69500</v>
      </c>
      <c r="L19" s="40">
        <f t="shared" si="2"/>
        <v>9800</v>
      </c>
      <c r="M19" s="40">
        <f t="shared" si="2"/>
        <v>68110</v>
      </c>
      <c r="N19" s="39">
        <f t="shared" si="7"/>
        <v>11956</v>
      </c>
      <c r="O19" s="39">
        <f t="shared" si="7"/>
        <v>83094.2</v>
      </c>
      <c r="P19" s="38">
        <f t="shared" si="3"/>
        <v>-1590</v>
      </c>
      <c r="Q19" s="41">
        <f t="shared" si="8"/>
        <v>0.12578616352201258</v>
      </c>
      <c r="R19" s="41">
        <f t="shared" si="9"/>
        <v>0.87421383647798745</v>
      </c>
      <c r="S19" s="36" t="s">
        <v>81</v>
      </c>
      <c r="T19" s="36" t="s">
        <v>192</v>
      </c>
      <c r="U19" s="42">
        <v>45293</v>
      </c>
      <c r="V19" s="36" t="s">
        <v>193</v>
      </c>
      <c r="W19" s="36" t="s">
        <v>194</v>
      </c>
      <c r="X19" s="36" t="s">
        <v>195</v>
      </c>
      <c r="Y19" s="35" t="s">
        <v>122</v>
      </c>
      <c r="Z19" s="35" t="s">
        <v>196</v>
      </c>
      <c r="AA19" s="35"/>
      <c r="AB19" s="35"/>
    </row>
    <row r="20" spans="1:28" s="33" customFormat="1" ht="124.2">
      <c r="A20" s="34" t="s">
        <v>197</v>
      </c>
      <c r="B20" s="35" t="s">
        <v>198</v>
      </c>
      <c r="C20" s="54" t="str">
        <f t="shared" si="0"/>
        <v>PROJ-3615 TIS WM platvormilt SKA TSK teenuse üleviimine mikroteenuste platvormile</v>
      </c>
      <c r="D20" s="54" t="s">
        <v>131</v>
      </c>
      <c r="E20" s="54" t="s">
        <v>142</v>
      </c>
      <c r="F20" s="37">
        <v>243000</v>
      </c>
      <c r="G20" s="37">
        <f t="shared" si="4"/>
        <v>238140</v>
      </c>
      <c r="H20" s="38">
        <f t="shared" si="5"/>
        <v>296460</v>
      </c>
      <c r="I20" s="39">
        <f t="shared" si="6"/>
        <v>290530.8</v>
      </c>
      <c r="J20" s="40">
        <v>50000</v>
      </c>
      <c r="K20" s="40">
        <f t="shared" si="1"/>
        <v>193000</v>
      </c>
      <c r="L20" s="40">
        <f t="shared" si="2"/>
        <v>49000</v>
      </c>
      <c r="M20" s="40">
        <f t="shared" si="2"/>
        <v>189140</v>
      </c>
      <c r="N20" s="39">
        <f t="shared" si="7"/>
        <v>59780</v>
      </c>
      <c r="O20" s="39">
        <f t="shared" si="7"/>
        <v>230750.8</v>
      </c>
      <c r="P20" s="38">
        <f t="shared" si="3"/>
        <v>-4860</v>
      </c>
      <c r="Q20" s="41">
        <f t="shared" si="8"/>
        <v>0.20576131687242799</v>
      </c>
      <c r="R20" s="41">
        <f t="shared" si="9"/>
        <v>0.79423868312757206</v>
      </c>
      <c r="S20" s="36" t="s">
        <v>81</v>
      </c>
      <c r="T20" s="36" t="s">
        <v>199</v>
      </c>
      <c r="U20" s="42">
        <v>45293</v>
      </c>
      <c r="V20" s="36" t="s">
        <v>200</v>
      </c>
      <c r="W20" s="36" t="s">
        <v>201</v>
      </c>
      <c r="X20" s="36" t="s">
        <v>202</v>
      </c>
      <c r="Y20" s="35" t="s">
        <v>122</v>
      </c>
      <c r="Z20" s="35" t="s">
        <v>203</v>
      </c>
      <c r="AA20" s="35"/>
      <c r="AB20" s="35"/>
    </row>
    <row r="21" spans="1:28" s="33" customFormat="1" ht="55.2">
      <c r="A21" s="34" t="s">
        <v>204</v>
      </c>
      <c r="B21" s="35" t="s">
        <v>205</v>
      </c>
      <c r="C21" s="54" t="str">
        <f t="shared" si="0"/>
        <v>PROJ-3614 TIS WM platvormilt tervisekontrolli teenuste üleviimine mikroteenuste platvormile</v>
      </c>
      <c r="D21" s="54" t="s">
        <v>131</v>
      </c>
      <c r="E21" s="54" t="s">
        <v>142</v>
      </c>
      <c r="F21" s="37">
        <v>160000</v>
      </c>
      <c r="G21" s="37">
        <f t="shared" si="4"/>
        <v>156800</v>
      </c>
      <c r="H21" s="38">
        <f t="shared" si="5"/>
        <v>195200</v>
      </c>
      <c r="I21" s="39">
        <f t="shared" si="6"/>
        <v>191296</v>
      </c>
      <c r="J21" s="40">
        <v>32000</v>
      </c>
      <c r="K21" s="40">
        <f t="shared" si="1"/>
        <v>128000</v>
      </c>
      <c r="L21" s="40">
        <f t="shared" si="2"/>
        <v>31360</v>
      </c>
      <c r="M21" s="40">
        <f t="shared" si="2"/>
        <v>125440</v>
      </c>
      <c r="N21" s="39">
        <f t="shared" si="7"/>
        <v>38259.199999999997</v>
      </c>
      <c r="O21" s="39">
        <f t="shared" si="7"/>
        <v>153036.79999999999</v>
      </c>
      <c r="P21" s="38">
        <f t="shared" si="3"/>
        <v>-3200</v>
      </c>
      <c r="Q21" s="41">
        <f t="shared" si="8"/>
        <v>0.2</v>
      </c>
      <c r="R21" s="41">
        <f t="shared" si="9"/>
        <v>0.8</v>
      </c>
      <c r="S21" s="36" t="s">
        <v>81</v>
      </c>
      <c r="T21" s="36" t="s">
        <v>206</v>
      </c>
      <c r="U21" s="42">
        <v>45293</v>
      </c>
      <c r="V21" s="36" t="s">
        <v>207</v>
      </c>
      <c r="W21" s="36" t="s">
        <v>208</v>
      </c>
      <c r="X21" s="36" t="s">
        <v>195</v>
      </c>
      <c r="Y21" s="35" t="s">
        <v>122</v>
      </c>
      <c r="Z21" s="35" t="s">
        <v>209</v>
      </c>
      <c r="AA21" s="35"/>
      <c r="AB21" s="35"/>
    </row>
    <row r="22" spans="1:28" s="33" customFormat="1" ht="55.2">
      <c r="A22" s="34" t="s">
        <v>210</v>
      </c>
      <c r="B22" s="35" t="s">
        <v>211</v>
      </c>
      <c r="C22" s="54" t="str">
        <f t="shared" si="0"/>
        <v>PROJ-3613 TIS WM platvormilt hambaravi teenuste üleviimine mikroteenuste platvormile</v>
      </c>
      <c r="D22" s="54" t="s">
        <v>131</v>
      </c>
      <c r="E22" s="54" t="s">
        <v>142</v>
      </c>
      <c r="F22" s="37">
        <v>170000</v>
      </c>
      <c r="G22" s="37">
        <f t="shared" si="4"/>
        <v>166600</v>
      </c>
      <c r="H22" s="38">
        <f t="shared" si="5"/>
        <v>207400</v>
      </c>
      <c r="I22" s="39">
        <f t="shared" si="6"/>
        <v>203252</v>
      </c>
      <c r="J22" s="40">
        <v>170000</v>
      </c>
      <c r="K22" s="40">
        <f t="shared" si="1"/>
        <v>0</v>
      </c>
      <c r="L22" s="40">
        <f t="shared" si="2"/>
        <v>166600</v>
      </c>
      <c r="M22" s="40">
        <f t="shared" si="2"/>
        <v>0</v>
      </c>
      <c r="N22" s="39">
        <f t="shared" si="7"/>
        <v>203252</v>
      </c>
      <c r="O22" s="39">
        <f t="shared" si="7"/>
        <v>0</v>
      </c>
      <c r="P22" s="38">
        <f t="shared" si="3"/>
        <v>-3400</v>
      </c>
      <c r="Q22" s="41">
        <f t="shared" si="8"/>
        <v>1</v>
      </c>
      <c r="R22" s="41">
        <f t="shared" si="9"/>
        <v>0</v>
      </c>
      <c r="S22" s="36" t="s">
        <v>133</v>
      </c>
      <c r="T22" s="36" t="s">
        <v>212</v>
      </c>
      <c r="U22" s="42">
        <v>45293</v>
      </c>
      <c r="V22" s="36" t="s">
        <v>213</v>
      </c>
      <c r="W22" s="36" t="s">
        <v>214</v>
      </c>
      <c r="X22" s="36" t="s">
        <v>215</v>
      </c>
      <c r="Y22" s="35" t="s">
        <v>122</v>
      </c>
      <c r="Z22" s="35"/>
      <c r="AA22" s="35"/>
      <c r="AB22" s="35"/>
    </row>
    <row r="23" spans="1:28" s="33" customFormat="1" ht="82.8">
      <c r="A23" s="34" t="s">
        <v>216</v>
      </c>
      <c r="B23" s="35" t="s">
        <v>217</v>
      </c>
      <c r="C23" s="54" t="str">
        <f t="shared" si="0"/>
        <v>PROJ-3612 TIS WM platvormilt terminoloogia teenuste üleviimine mikroteenuste platvormile</v>
      </c>
      <c r="D23" s="54" t="s">
        <v>131</v>
      </c>
      <c r="E23" s="54" t="s">
        <v>142</v>
      </c>
      <c r="F23" s="37">
        <v>65000</v>
      </c>
      <c r="G23" s="37">
        <f t="shared" si="4"/>
        <v>63700</v>
      </c>
      <c r="H23" s="38">
        <f t="shared" si="5"/>
        <v>79300</v>
      </c>
      <c r="I23" s="39">
        <f t="shared" si="6"/>
        <v>77714</v>
      </c>
      <c r="J23" s="40">
        <v>65000</v>
      </c>
      <c r="K23" s="40">
        <f t="shared" si="1"/>
        <v>0</v>
      </c>
      <c r="L23" s="40">
        <f t="shared" si="2"/>
        <v>63700</v>
      </c>
      <c r="M23" s="40">
        <f t="shared" si="2"/>
        <v>0</v>
      </c>
      <c r="N23" s="39">
        <f t="shared" si="7"/>
        <v>77714</v>
      </c>
      <c r="O23" s="39">
        <f t="shared" si="7"/>
        <v>0</v>
      </c>
      <c r="P23" s="38">
        <f t="shared" si="3"/>
        <v>-1300</v>
      </c>
      <c r="Q23" s="41">
        <f t="shared" si="8"/>
        <v>1</v>
      </c>
      <c r="R23" s="41">
        <f t="shared" si="9"/>
        <v>0</v>
      </c>
      <c r="S23" s="36" t="s">
        <v>133</v>
      </c>
      <c r="T23" s="36" t="s">
        <v>218</v>
      </c>
      <c r="U23" s="42">
        <v>45293</v>
      </c>
      <c r="V23" s="36" t="s">
        <v>219</v>
      </c>
      <c r="W23" s="36" t="s">
        <v>214</v>
      </c>
      <c r="X23" s="36" t="s">
        <v>215</v>
      </c>
      <c r="Y23" s="35" t="s">
        <v>122</v>
      </c>
      <c r="Z23" s="35"/>
      <c r="AA23" s="35"/>
      <c r="AB23" s="35"/>
    </row>
    <row r="24" spans="1:28" s="33" customFormat="1" ht="124.2">
      <c r="A24" s="34" t="s">
        <v>220</v>
      </c>
      <c r="B24" s="35" t="s">
        <v>221</v>
      </c>
      <c r="C24" s="54" t="str">
        <f t="shared" si="0"/>
        <v>PROJ-3611 TIS WM platvormilt retseptikeskuse integratsiooni üleviimine mikroteenuste platvormile</v>
      </c>
      <c r="D24" s="54" t="s">
        <v>131</v>
      </c>
      <c r="E24" s="54" t="s">
        <v>142</v>
      </c>
      <c r="F24" s="37">
        <v>127000</v>
      </c>
      <c r="G24" s="37">
        <f t="shared" si="4"/>
        <v>124460</v>
      </c>
      <c r="H24" s="38">
        <f t="shared" si="5"/>
        <v>154940</v>
      </c>
      <c r="I24" s="39">
        <f t="shared" si="6"/>
        <v>151841.20000000001</v>
      </c>
      <c r="J24" s="40">
        <v>127000</v>
      </c>
      <c r="K24" s="40">
        <f t="shared" si="1"/>
        <v>0</v>
      </c>
      <c r="L24" s="40">
        <f t="shared" si="2"/>
        <v>124460</v>
      </c>
      <c r="M24" s="40">
        <f t="shared" si="2"/>
        <v>0</v>
      </c>
      <c r="N24" s="39">
        <f t="shared" si="7"/>
        <v>151841.19999999998</v>
      </c>
      <c r="O24" s="39">
        <f t="shared" si="7"/>
        <v>0</v>
      </c>
      <c r="P24" s="38">
        <f t="shared" si="3"/>
        <v>-2540</v>
      </c>
      <c r="Q24" s="41">
        <f t="shared" si="8"/>
        <v>1</v>
      </c>
      <c r="R24" s="41">
        <f t="shared" si="9"/>
        <v>0</v>
      </c>
      <c r="S24" s="36" t="s">
        <v>133</v>
      </c>
      <c r="T24" s="36" t="s">
        <v>222</v>
      </c>
      <c r="U24" s="42">
        <v>45293</v>
      </c>
      <c r="V24" s="36" t="s">
        <v>223</v>
      </c>
      <c r="W24" s="36" t="s">
        <v>224</v>
      </c>
      <c r="X24" s="36" t="s">
        <v>225</v>
      </c>
      <c r="Y24" s="35" t="s">
        <v>122</v>
      </c>
      <c r="Z24" s="35"/>
      <c r="AA24" s="35"/>
      <c r="AB24" s="35"/>
    </row>
    <row r="25" spans="1:28" s="33" customFormat="1" ht="55.2">
      <c r="A25" s="34" t="s">
        <v>226</v>
      </c>
      <c r="B25" s="35" t="s">
        <v>227</v>
      </c>
      <c r="C25" s="54" t="str">
        <f t="shared" si="0"/>
        <v>PROJ-3610 Andmekaitsealase mõjuhinnangu koostamine TIS pre-live keskkonnas testide läbiviimiseks</v>
      </c>
      <c r="D25" s="54" t="s">
        <v>306</v>
      </c>
      <c r="E25" s="54" t="s">
        <v>142</v>
      </c>
      <c r="F25" s="37">
        <v>50000</v>
      </c>
      <c r="G25" s="37">
        <f t="shared" si="4"/>
        <v>49000</v>
      </c>
      <c r="H25" s="38">
        <f t="shared" si="5"/>
        <v>61000</v>
      </c>
      <c r="I25" s="39">
        <f t="shared" si="6"/>
        <v>59780</v>
      </c>
      <c r="J25" s="40">
        <v>50000</v>
      </c>
      <c r="K25" s="40">
        <f t="shared" si="1"/>
        <v>0</v>
      </c>
      <c r="L25" s="40">
        <f t="shared" si="2"/>
        <v>49000</v>
      </c>
      <c r="M25" s="40">
        <f t="shared" si="2"/>
        <v>0</v>
      </c>
      <c r="N25" s="39">
        <f t="shared" si="7"/>
        <v>59780</v>
      </c>
      <c r="O25" s="39">
        <f t="shared" si="7"/>
        <v>0</v>
      </c>
      <c r="P25" s="38">
        <f t="shared" si="3"/>
        <v>-1000</v>
      </c>
      <c r="Q25" s="41">
        <f t="shared" si="8"/>
        <v>1</v>
      </c>
      <c r="R25" s="41">
        <f t="shared" si="9"/>
        <v>0</v>
      </c>
      <c r="S25" s="36" t="s">
        <v>81</v>
      </c>
      <c r="T25" s="36" t="s">
        <v>228</v>
      </c>
      <c r="U25" s="35"/>
      <c r="V25" s="36" t="s">
        <v>229</v>
      </c>
      <c r="W25" s="36" t="s">
        <v>230</v>
      </c>
      <c r="X25" s="36"/>
      <c r="Y25" s="35" t="s">
        <v>231</v>
      </c>
      <c r="Z25" s="35"/>
      <c r="AA25" s="35"/>
      <c r="AB25" s="35"/>
    </row>
    <row r="26" spans="1:28" s="33" customFormat="1" ht="124.2">
      <c r="A26" s="34" t="s">
        <v>232</v>
      </c>
      <c r="B26" s="35" t="s">
        <v>233</v>
      </c>
      <c r="C26" s="54" t="str">
        <f t="shared" si="0"/>
        <v>PROJ-3609 FHIR kasutuselevõtmiseks vajalike tehniliste eelduste täitmine</v>
      </c>
      <c r="D26" s="54" t="s">
        <v>234</v>
      </c>
      <c r="E26" s="54" t="s">
        <v>142</v>
      </c>
      <c r="F26" s="37">
        <v>200000</v>
      </c>
      <c r="G26" s="37">
        <f t="shared" si="4"/>
        <v>196000</v>
      </c>
      <c r="H26" s="38">
        <f t="shared" si="5"/>
        <v>244000</v>
      </c>
      <c r="I26" s="39">
        <f t="shared" si="6"/>
        <v>239120</v>
      </c>
      <c r="J26" s="40">
        <v>150000</v>
      </c>
      <c r="K26" s="40">
        <f t="shared" si="1"/>
        <v>50000</v>
      </c>
      <c r="L26" s="40">
        <f t="shared" si="2"/>
        <v>147000</v>
      </c>
      <c r="M26" s="40">
        <f t="shared" si="2"/>
        <v>49000</v>
      </c>
      <c r="N26" s="39">
        <f t="shared" si="7"/>
        <v>179340</v>
      </c>
      <c r="O26" s="39">
        <f t="shared" si="7"/>
        <v>59780</v>
      </c>
      <c r="P26" s="38">
        <f t="shared" si="3"/>
        <v>-4000</v>
      </c>
      <c r="Q26" s="41">
        <f t="shared" si="8"/>
        <v>0.75</v>
      </c>
      <c r="R26" s="41">
        <f t="shared" si="9"/>
        <v>0.25</v>
      </c>
      <c r="S26" s="36" t="s">
        <v>133</v>
      </c>
      <c r="T26" s="36" t="s">
        <v>235</v>
      </c>
      <c r="U26" s="35"/>
      <c r="V26" s="36" t="s">
        <v>236</v>
      </c>
      <c r="W26" s="36" t="s">
        <v>237</v>
      </c>
      <c r="X26" s="36" t="s">
        <v>238</v>
      </c>
      <c r="Y26" s="35" t="s">
        <v>122</v>
      </c>
      <c r="Z26" s="35"/>
      <c r="AA26" s="35"/>
      <c r="AB26" s="35"/>
    </row>
    <row r="27" spans="1:28" s="33" customFormat="1" ht="124.2">
      <c r="A27" s="34" t="s">
        <v>239</v>
      </c>
      <c r="B27" s="35" t="s">
        <v>240</v>
      </c>
      <c r="C27" s="54" t="str">
        <f t="shared" si="0"/>
        <v>PROJ-3608 Juurdepääsuõiguste moodularendused</v>
      </c>
      <c r="D27" s="54" t="s">
        <v>234</v>
      </c>
      <c r="E27" s="54" t="s">
        <v>142</v>
      </c>
      <c r="F27" s="37">
        <v>150000</v>
      </c>
      <c r="G27" s="37">
        <f t="shared" si="4"/>
        <v>147000</v>
      </c>
      <c r="H27" s="38">
        <f t="shared" si="5"/>
        <v>183000</v>
      </c>
      <c r="I27" s="39">
        <f t="shared" si="6"/>
        <v>179340</v>
      </c>
      <c r="J27" s="40">
        <v>75000</v>
      </c>
      <c r="K27" s="40">
        <f t="shared" si="1"/>
        <v>75000</v>
      </c>
      <c r="L27" s="40">
        <f t="shared" si="2"/>
        <v>73500</v>
      </c>
      <c r="M27" s="40">
        <f t="shared" si="2"/>
        <v>73500</v>
      </c>
      <c r="N27" s="39">
        <f t="shared" si="7"/>
        <v>89670</v>
      </c>
      <c r="O27" s="39">
        <f t="shared" si="7"/>
        <v>89670</v>
      </c>
      <c r="P27" s="38">
        <f t="shared" si="3"/>
        <v>-3000</v>
      </c>
      <c r="Q27" s="41">
        <f t="shared" si="8"/>
        <v>0.5</v>
      </c>
      <c r="R27" s="41">
        <f t="shared" si="9"/>
        <v>0.5</v>
      </c>
      <c r="S27" s="36" t="s">
        <v>133</v>
      </c>
      <c r="T27" s="36" t="s">
        <v>241</v>
      </c>
      <c r="U27" s="35"/>
      <c r="V27" s="36" t="s">
        <v>242</v>
      </c>
      <c r="W27" s="36" t="s">
        <v>243</v>
      </c>
      <c r="X27" s="36" t="s">
        <v>244</v>
      </c>
      <c r="Y27" s="35" t="s">
        <v>122</v>
      </c>
      <c r="Z27" s="35"/>
      <c r="AA27" s="35"/>
      <c r="AB27" s="35" t="s">
        <v>245</v>
      </c>
    </row>
    <row r="28" spans="1:28" s="33" customFormat="1" ht="124.2">
      <c r="A28" s="34" t="s">
        <v>246</v>
      </c>
      <c r="B28" s="35" t="s">
        <v>247</v>
      </c>
      <c r="C28" s="54" t="str">
        <f t="shared" si="0"/>
        <v>PROJ-3594 Analüüsi- ja arendustööd upTIS raames andmete integratsioonimudeli toimima panemiseks</v>
      </c>
      <c r="D28" s="54" t="s">
        <v>234</v>
      </c>
      <c r="E28" s="54" t="s">
        <v>142</v>
      </c>
      <c r="F28" s="37">
        <v>70000</v>
      </c>
      <c r="G28" s="37">
        <f t="shared" si="4"/>
        <v>68600</v>
      </c>
      <c r="H28" s="38">
        <f t="shared" si="5"/>
        <v>85400</v>
      </c>
      <c r="I28" s="39">
        <f t="shared" si="6"/>
        <v>83692</v>
      </c>
      <c r="J28" s="40">
        <v>70000</v>
      </c>
      <c r="K28" s="40">
        <f t="shared" si="1"/>
        <v>0</v>
      </c>
      <c r="L28" s="40">
        <f t="shared" si="2"/>
        <v>68600</v>
      </c>
      <c r="M28" s="40">
        <f t="shared" si="2"/>
        <v>0</v>
      </c>
      <c r="N28" s="39">
        <f t="shared" si="7"/>
        <v>83692</v>
      </c>
      <c r="O28" s="39">
        <f t="shared" si="7"/>
        <v>0</v>
      </c>
      <c r="P28" s="38">
        <f t="shared" si="3"/>
        <v>-1400</v>
      </c>
      <c r="Q28" s="41">
        <f t="shared" si="8"/>
        <v>1</v>
      </c>
      <c r="R28" s="41">
        <f t="shared" si="9"/>
        <v>0</v>
      </c>
      <c r="S28" s="36" t="s">
        <v>133</v>
      </c>
      <c r="T28" s="36" t="s">
        <v>248</v>
      </c>
      <c r="U28" s="42">
        <v>45292</v>
      </c>
      <c r="V28" s="36" t="s">
        <v>249</v>
      </c>
      <c r="W28" s="36" t="s">
        <v>250</v>
      </c>
      <c r="X28" s="36" t="s">
        <v>251</v>
      </c>
      <c r="Y28" s="35" t="s">
        <v>122</v>
      </c>
      <c r="Z28" s="35"/>
      <c r="AA28" s="35"/>
      <c r="AB28" s="35" t="s">
        <v>252</v>
      </c>
    </row>
    <row r="29" spans="1:28" s="33" customFormat="1" ht="82.8">
      <c r="A29" s="34" t="s">
        <v>253</v>
      </c>
      <c r="B29" s="35" t="s">
        <v>254</v>
      </c>
      <c r="C29" s="54" t="str">
        <f t="shared" si="0"/>
        <v>PROJ-3575 Koostöö võimestamine 2024</v>
      </c>
      <c r="D29" s="54" t="s">
        <v>142</v>
      </c>
      <c r="E29" s="54" t="s">
        <v>132</v>
      </c>
      <c r="F29" s="37">
        <f>J29+K29</f>
        <v>60000</v>
      </c>
      <c r="G29" s="37">
        <f>F29</f>
        <v>60000</v>
      </c>
      <c r="H29" s="38">
        <f t="shared" si="5"/>
        <v>73200</v>
      </c>
      <c r="I29" s="39">
        <f t="shared" si="6"/>
        <v>73200</v>
      </c>
      <c r="J29" s="50">
        <v>30000</v>
      </c>
      <c r="K29" s="50">
        <v>30000</v>
      </c>
      <c r="L29" s="40">
        <f>J29</f>
        <v>30000</v>
      </c>
      <c r="M29" s="40">
        <f>K29</f>
        <v>30000</v>
      </c>
      <c r="N29" s="39">
        <f t="shared" si="7"/>
        <v>36600</v>
      </c>
      <c r="O29" s="39">
        <f t="shared" si="7"/>
        <v>36600</v>
      </c>
      <c r="P29" s="51">
        <v>0</v>
      </c>
      <c r="Q29" s="41">
        <f t="shared" si="8"/>
        <v>0.5</v>
      </c>
      <c r="R29" s="41">
        <f t="shared" si="9"/>
        <v>0.5</v>
      </c>
      <c r="S29" s="36"/>
      <c r="T29" s="36" t="s">
        <v>255</v>
      </c>
      <c r="U29" s="42">
        <v>45292</v>
      </c>
      <c r="V29" s="36"/>
      <c r="W29" s="36"/>
      <c r="X29" s="36"/>
      <c r="Y29" s="35"/>
      <c r="Z29" s="35" t="s">
        <v>256</v>
      </c>
      <c r="AA29" s="35"/>
      <c r="AB29" s="35"/>
    </row>
    <row r="30" spans="1:28" s="33" customFormat="1" ht="138">
      <c r="A30" s="34" t="s">
        <v>257</v>
      </c>
      <c r="B30" s="35" t="s">
        <v>258</v>
      </c>
      <c r="C30" s="54" t="str">
        <f t="shared" si="0"/>
        <v>PROJ-3572 Relatsioonilise metaandmestiku ökosüsteemi arendus- ja haldustööd 2024</v>
      </c>
      <c r="D30" s="54" t="s">
        <v>93</v>
      </c>
      <c r="E30" s="54" t="s">
        <v>94</v>
      </c>
      <c r="F30" s="37">
        <f>100000*0.2</f>
        <v>20000</v>
      </c>
      <c r="G30" s="37">
        <f>F30</f>
        <v>20000</v>
      </c>
      <c r="H30" s="38">
        <f t="shared" si="5"/>
        <v>24400</v>
      </c>
      <c r="I30" s="39">
        <f t="shared" si="6"/>
        <v>24400</v>
      </c>
      <c r="J30" s="50">
        <v>20000</v>
      </c>
      <c r="K30" s="50">
        <v>0</v>
      </c>
      <c r="L30" s="40">
        <f>J30</f>
        <v>20000</v>
      </c>
      <c r="M30" s="40">
        <f t="shared" ref="L30:M37" si="10">K30+K30*$P$2</f>
        <v>0</v>
      </c>
      <c r="N30" s="39">
        <f t="shared" si="7"/>
        <v>24400</v>
      </c>
      <c r="O30" s="39">
        <f t="shared" si="7"/>
        <v>0</v>
      </c>
      <c r="P30" s="51">
        <v>0</v>
      </c>
      <c r="Q30" s="41">
        <f t="shared" si="8"/>
        <v>1</v>
      </c>
      <c r="R30" s="41">
        <f t="shared" si="9"/>
        <v>0</v>
      </c>
      <c r="S30" s="36" t="s">
        <v>133</v>
      </c>
      <c r="T30" s="36" t="s">
        <v>259</v>
      </c>
      <c r="U30" s="42">
        <v>45173</v>
      </c>
      <c r="V30" s="36"/>
      <c r="W30" s="36"/>
      <c r="X30" s="36"/>
      <c r="Y30" s="35"/>
      <c r="Z30" s="35" t="s">
        <v>260</v>
      </c>
      <c r="AA30" s="35"/>
      <c r="AB30" s="35"/>
    </row>
    <row r="31" spans="1:28" s="33" customFormat="1" ht="262.2">
      <c r="A31" s="34" t="s">
        <v>261</v>
      </c>
      <c r="B31" s="35" t="s">
        <v>262</v>
      </c>
      <c r="C31" s="54" t="str">
        <f t="shared" si="0"/>
        <v>PROJ-3571 Tervise valdkonna metandmestiku ökosüsteemi arendustööd 2024</v>
      </c>
      <c r="D31" s="54" t="s">
        <v>93</v>
      </c>
      <c r="E31" s="54" t="s">
        <v>94</v>
      </c>
      <c r="F31" s="37">
        <f>200000*0.2</f>
        <v>40000</v>
      </c>
      <c r="G31" s="37">
        <f>F31</f>
        <v>40000</v>
      </c>
      <c r="H31" s="38">
        <f t="shared" si="5"/>
        <v>48800</v>
      </c>
      <c r="I31" s="39">
        <f t="shared" si="6"/>
        <v>48800</v>
      </c>
      <c r="J31" s="50">
        <v>40000</v>
      </c>
      <c r="K31" s="50">
        <v>0</v>
      </c>
      <c r="L31" s="40">
        <f>J31</f>
        <v>40000</v>
      </c>
      <c r="M31" s="40">
        <f t="shared" si="10"/>
        <v>0</v>
      </c>
      <c r="N31" s="39">
        <f t="shared" si="7"/>
        <v>48800</v>
      </c>
      <c r="O31" s="39">
        <f t="shared" si="7"/>
        <v>0</v>
      </c>
      <c r="P31" s="51">
        <v>0</v>
      </c>
      <c r="Q31" s="41">
        <f t="shared" si="8"/>
        <v>1</v>
      </c>
      <c r="R31" s="41">
        <f t="shared" si="9"/>
        <v>0</v>
      </c>
      <c r="S31" s="36" t="s">
        <v>81</v>
      </c>
      <c r="T31" s="36" t="s">
        <v>263</v>
      </c>
      <c r="U31" s="42">
        <v>44473</v>
      </c>
      <c r="V31" s="36" t="s">
        <v>264</v>
      </c>
      <c r="W31" s="36"/>
      <c r="X31" s="36"/>
      <c r="Y31" s="35"/>
      <c r="Z31" s="35" t="s">
        <v>265</v>
      </c>
      <c r="AA31" s="35"/>
      <c r="AB31" s="35"/>
    </row>
    <row r="32" spans="1:28" s="33" customFormat="1" ht="69">
      <c r="A32" s="34" t="s">
        <v>266</v>
      </c>
      <c r="B32" s="35" t="s">
        <v>267</v>
      </c>
      <c r="C32" s="54" t="str">
        <f t="shared" si="0"/>
        <v>PROJ-3468 Teavitused ja meeldetuletused terviseportaalis 2024</v>
      </c>
      <c r="D32" s="54" t="s">
        <v>305</v>
      </c>
      <c r="E32" s="54" t="s">
        <v>101</v>
      </c>
      <c r="F32" s="36">
        <v>400000</v>
      </c>
      <c r="G32" s="36">
        <f t="shared" si="4"/>
        <v>392000</v>
      </c>
      <c r="H32" s="38">
        <f t="shared" si="5"/>
        <v>488000</v>
      </c>
      <c r="I32" s="39">
        <f t="shared" si="6"/>
        <v>478240</v>
      </c>
      <c r="J32" s="40">
        <v>150000</v>
      </c>
      <c r="K32" s="40">
        <f t="shared" ref="K32:K37" si="11">F32-J32</f>
        <v>250000</v>
      </c>
      <c r="L32" s="40">
        <f t="shared" si="10"/>
        <v>147000</v>
      </c>
      <c r="M32" s="40">
        <f t="shared" si="10"/>
        <v>245000</v>
      </c>
      <c r="N32" s="39">
        <f t="shared" si="7"/>
        <v>179340</v>
      </c>
      <c r="O32" s="39">
        <f t="shared" si="7"/>
        <v>298900</v>
      </c>
      <c r="P32" s="38">
        <f t="shared" ref="P32:P37" si="12">$P$2*F32</f>
        <v>-8000</v>
      </c>
      <c r="Q32" s="41">
        <f t="shared" si="8"/>
        <v>0.375</v>
      </c>
      <c r="R32" s="41">
        <f t="shared" si="9"/>
        <v>0.625</v>
      </c>
      <c r="S32" s="36" t="s">
        <v>81</v>
      </c>
      <c r="T32" s="36" t="s">
        <v>268</v>
      </c>
      <c r="U32" s="42">
        <v>45350</v>
      </c>
      <c r="V32" s="36" t="s">
        <v>269</v>
      </c>
      <c r="W32" s="36"/>
      <c r="X32" s="36"/>
      <c r="Y32" s="35"/>
      <c r="Z32" s="35" t="s">
        <v>270</v>
      </c>
      <c r="AA32" s="35" t="s">
        <v>105</v>
      </c>
      <c r="AB32" s="35"/>
    </row>
    <row r="33" spans="1:28" s="33" customFormat="1" ht="303.60000000000002">
      <c r="A33" s="46" t="s">
        <v>271</v>
      </c>
      <c r="B33" s="35" t="s">
        <v>272</v>
      </c>
      <c r="C33" s="56" t="str">
        <f t="shared" si="0"/>
        <v>PROJ-3467 Ambulatoorsete analüüside tellimuste suunamised TIS-i 2024</v>
      </c>
      <c r="D33" s="56" t="s">
        <v>100</v>
      </c>
      <c r="E33" s="56" t="s">
        <v>304</v>
      </c>
      <c r="F33" s="47">
        <v>75000</v>
      </c>
      <c r="G33" s="47">
        <f t="shared" si="4"/>
        <v>73500</v>
      </c>
      <c r="H33" s="38">
        <f t="shared" si="5"/>
        <v>91500</v>
      </c>
      <c r="I33" s="49">
        <f t="shared" si="6"/>
        <v>89670</v>
      </c>
      <c r="J33" s="40">
        <v>0</v>
      </c>
      <c r="K33" s="40">
        <f t="shared" si="11"/>
        <v>75000</v>
      </c>
      <c r="L33" s="40">
        <f t="shared" si="10"/>
        <v>0</v>
      </c>
      <c r="M33" s="40">
        <f t="shared" si="10"/>
        <v>73500</v>
      </c>
      <c r="N33" s="49">
        <f t="shared" si="7"/>
        <v>0</v>
      </c>
      <c r="O33" s="49">
        <f t="shared" si="7"/>
        <v>89670</v>
      </c>
      <c r="P33" s="38">
        <f t="shared" si="12"/>
        <v>-1500</v>
      </c>
      <c r="Q33" s="41">
        <f t="shared" si="8"/>
        <v>0</v>
      </c>
      <c r="R33" s="41">
        <f t="shared" si="9"/>
        <v>1</v>
      </c>
      <c r="S33" s="47" t="s">
        <v>81</v>
      </c>
      <c r="T33" s="47" t="s">
        <v>273</v>
      </c>
      <c r="U33" s="42">
        <v>44928</v>
      </c>
      <c r="V33" s="47" t="s">
        <v>274</v>
      </c>
      <c r="W33" s="47"/>
      <c r="X33" s="47" t="s">
        <v>275</v>
      </c>
      <c r="Y33" s="35"/>
      <c r="Z33" s="35" t="s">
        <v>276</v>
      </c>
      <c r="AA33" s="35"/>
      <c r="AB33" s="35" t="s">
        <v>277</v>
      </c>
    </row>
    <row r="34" spans="1:28" s="33" customFormat="1" ht="110.4">
      <c r="A34" s="34" t="s">
        <v>278</v>
      </c>
      <c r="B34" s="35" t="s">
        <v>279</v>
      </c>
      <c r="C34" s="54" t="str">
        <f t="shared" si="0"/>
        <v>PROJ-3463 ÜDR back-end arendustööd 2024</v>
      </c>
      <c r="D34" s="54" t="s">
        <v>280</v>
      </c>
      <c r="E34" s="54" t="s">
        <v>101</v>
      </c>
      <c r="F34" s="36">
        <v>250000</v>
      </c>
      <c r="G34" s="36">
        <f t="shared" si="4"/>
        <v>245000</v>
      </c>
      <c r="H34" s="38">
        <f t="shared" si="5"/>
        <v>305000</v>
      </c>
      <c r="I34" s="39">
        <f t="shared" si="6"/>
        <v>298900</v>
      </c>
      <c r="J34" s="40">
        <v>200000</v>
      </c>
      <c r="K34" s="40">
        <f t="shared" si="11"/>
        <v>50000</v>
      </c>
      <c r="L34" s="40">
        <f t="shared" si="10"/>
        <v>196000</v>
      </c>
      <c r="M34" s="40">
        <f t="shared" si="10"/>
        <v>49000</v>
      </c>
      <c r="N34" s="39">
        <f t="shared" si="7"/>
        <v>239120</v>
      </c>
      <c r="O34" s="39">
        <f t="shared" si="7"/>
        <v>59780</v>
      </c>
      <c r="P34" s="38">
        <f t="shared" si="12"/>
        <v>-5000</v>
      </c>
      <c r="Q34" s="41">
        <f t="shared" si="8"/>
        <v>0.8</v>
      </c>
      <c r="R34" s="41">
        <f t="shared" si="9"/>
        <v>0.2</v>
      </c>
      <c r="S34" s="36" t="s">
        <v>81</v>
      </c>
      <c r="T34" s="36" t="s">
        <v>281</v>
      </c>
      <c r="U34" s="42">
        <v>44927</v>
      </c>
      <c r="V34" s="36" t="s">
        <v>109</v>
      </c>
      <c r="W34" s="36"/>
      <c r="X34" s="36"/>
      <c r="Y34" s="35"/>
      <c r="Z34" s="35" t="s">
        <v>282</v>
      </c>
      <c r="AA34" s="35" t="s">
        <v>283</v>
      </c>
      <c r="AB34" s="35"/>
    </row>
    <row r="35" spans="1:28" s="33" customFormat="1" ht="82.8">
      <c r="A35" s="34" t="s">
        <v>284</v>
      </c>
      <c r="B35" s="35" t="s">
        <v>285</v>
      </c>
      <c r="C35" s="54" t="str">
        <f t="shared" si="0"/>
        <v>PROJ-3459 upTIS platvormitööde ja sündmuspõhise andmevahetuse eeldustööde turvatestimine</v>
      </c>
      <c r="D35" s="54" t="s">
        <v>131</v>
      </c>
      <c r="E35" s="54" t="s">
        <v>286</v>
      </c>
      <c r="F35" s="37">
        <v>60000</v>
      </c>
      <c r="G35" s="37">
        <f t="shared" si="4"/>
        <v>58800</v>
      </c>
      <c r="H35" s="38">
        <f t="shared" si="5"/>
        <v>73200</v>
      </c>
      <c r="I35" s="39">
        <f t="shared" si="6"/>
        <v>71736</v>
      </c>
      <c r="J35" s="40">
        <v>60000</v>
      </c>
      <c r="K35" s="40">
        <f t="shared" si="11"/>
        <v>0</v>
      </c>
      <c r="L35" s="40">
        <f t="shared" si="10"/>
        <v>58800</v>
      </c>
      <c r="M35" s="40">
        <f t="shared" si="10"/>
        <v>0</v>
      </c>
      <c r="N35" s="39">
        <f t="shared" ref="N35:O37" si="13">L35*1.22</f>
        <v>71736</v>
      </c>
      <c r="O35" s="39">
        <f t="shared" si="13"/>
        <v>0</v>
      </c>
      <c r="P35" s="38">
        <f t="shared" si="12"/>
        <v>-1200</v>
      </c>
      <c r="Q35" s="41">
        <f t="shared" si="8"/>
        <v>1</v>
      </c>
      <c r="R35" s="41">
        <f t="shared" si="9"/>
        <v>0</v>
      </c>
      <c r="S35" s="36" t="s">
        <v>81</v>
      </c>
      <c r="T35" s="36" t="s">
        <v>287</v>
      </c>
      <c r="U35" s="35"/>
      <c r="V35" s="36" t="s">
        <v>288</v>
      </c>
      <c r="W35" s="36" t="s">
        <v>288</v>
      </c>
      <c r="X35" s="36" t="s">
        <v>288</v>
      </c>
      <c r="Y35" s="35" t="s">
        <v>231</v>
      </c>
      <c r="Z35" s="35"/>
      <c r="AA35" s="35"/>
      <c r="AB35" s="35"/>
    </row>
    <row r="36" spans="1:28" s="33" customFormat="1" ht="55.2">
      <c r="A36" s="46" t="s">
        <v>289</v>
      </c>
      <c r="B36" s="35" t="s">
        <v>290</v>
      </c>
      <c r="C36" s="56" t="str">
        <f t="shared" si="0"/>
        <v>PROJ-3457 Tervise infosüsteemi nõusolekuteenuse jätkuarendustööd 2024</v>
      </c>
      <c r="D36" s="56" t="s">
        <v>131</v>
      </c>
      <c r="E36" s="56" t="s">
        <v>142</v>
      </c>
      <c r="F36" s="48">
        <v>10000</v>
      </c>
      <c r="G36" s="48">
        <f t="shared" si="4"/>
        <v>9800</v>
      </c>
      <c r="H36" s="38">
        <f t="shared" si="5"/>
        <v>12200</v>
      </c>
      <c r="I36" s="49">
        <f t="shared" si="6"/>
        <v>11956</v>
      </c>
      <c r="J36" s="40">
        <v>0</v>
      </c>
      <c r="K36" s="40">
        <f t="shared" si="11"/>
        <v>10000</v>
      </c>
      <c r="L36" s="40">
        <f t="shared" si="10"/>
        <v>0</v>
      </c>
      <c r="M36" s="40">
        <f t="shared" si="10"/>
        <v>9800</v>
      </c>
      <c r="N36" s="49">
        <f t="shared" si="13"/>
        <v>0</v>
      </c>
      <c r="O36" s="49">
        <f t="shared" si="13"/>
        <v>11956</v>
      </c>
      <c r="P36" s="38">
        <f t="shared" si="12"/>
        <v>-200</v>
      </c>
      <c r="Q36" s="41">
        <f t="shared" si="8"/>
        <v>0</v>
      </c>
      <c r="R36" s="41">
        <f t="shared" si="9"/>
        <v>1</v>
      </c>
      <c r="S36" s="47" t="s">
        <v>133</v>
      </c>
      <c r="T36" s="47" t="s">
        <v>291</v>
      </c>
      <c r="U36" s="35"/>
      <c r="V36" s="47" t="s">
        <v>292</v>
      </c>
      <c r="W36" s="47"/>
      <c r="X36" s="47"/>
      <c r="Y36" s="35"/>
      <c r="Z36" s="35"/>
      <c r="AA36" s="35"/>
      <c r="AB36" s="35" t="s">
        <v>293</v>
      </c>
    </row>
    <row r="37" spans="1:28" s="33" customFormat="1" ht="41.4">
      <c r="A37" s="34" t="s">
        <v>294</v>
      </c>
      <c r="B37" s="35" t="s">
        <v>295</v>
      </c>
      <c r="C37" s="54" t="str">
        <f t="shared" si="0"/>
        <v>PROJ-3455 Uue põlvkonna tervise infosüsteemi hooldus- ja väikearendustööd 2024</v>
      </c>
      <c r="D37" s="54" t="s">
        <v>131</v>
      </c>
      <c r="E37" s="54" t="s">
        <v>142</v>
      </c>
      <c r="F37" s="37">
        <v>400000</v>
      </c>
      <c r="G37" s="37">
        <f t="shared" si="4"/>
        <v>392000</v>
      </c>
      <c r="H37" s="38">
        <f t="shared" si="5"/>
        <v>488000</v>
      </c>
      <c r="I37" s="39">
        <f t="shared" si="6"/>
        <v>478240</v>
      </c>
      <c r="J37" s="40">
        <v>280000</v>
      </c>
      <c r="K37" s="40">
        <f t="shared" si="11"/>
        <v>120000</v>
      </c>
      <c r="L37" s="40">
        <f t="shared" si="10"/>
        <v>274400</v>
      </c>
      <c r="M37" s="40">
        <f t="shared" si="10"/>
        <v>117600</v>
      </c>
      <c r="N37" s="39">
        <f t="shared" si="13"/>
        <v>334768</v>
      </c>
      <c r="O37" s="39">
        <f t="shared" si="13"/>
        <v>143472</v>
      </c>
      <c r="P37" s="38">
        <f t="shared" si="12"/>
        <v>-8000</v>
      </c>
      <c r="Q37" s="41">
        <f t="shared" si="8"/>
        <v>0.7</v>
      </c>
      <c r="R37" s="41">
        <f t="shared" si="9"/>
        <v>0.3</v>
      </c>
      <c r="S37" s="36" t="s">
        <v>133</v>
      </c>
      <c r="T37" s="36" t="s">
        <v>296</v>
      </c>
      <c r="U37" s="35"/>
      <c r="V37" s="36" t="s">
        <v>297</v>
      </c>
      <c r="W37" s="36"/>
      <c r="X37" s="36"/>
      <c r="Y37" s="35" t="s">
        <v>122</v>
      </c>
      <c r="Z37" s="35"/>
      <c r="AA37" s="35"/>
      <c r="AB37" s="35"/>
    </row>
    <row r="38" spans="1:28" ht="17.399999999999999">
      <c r="I38" s="52">
        <f>SUM(I3:I37)</f>
        <v>5798175.7576000001</v>
      </c>
      <c r="J38" s="52">
        <f t="shared" ref="J38:P38" si="14">SUM(J3:J37)</f>
        <v>2727986</v>
      </c>
      <c r="K38" s="52">
        <f t="shared" si="14"/>
        <v>2119160</v>
      </c>
      <c r="L38" s="52">
        <f t="shared" si="14"/>
        <v>2675226.2800000003</v>
      </c>
      <c r="M38" s="52">
        <f t="shared" si="14"/>
        <v>2077376.8</v>
      </c>
      <c r="N38" s="52">
        <f t="shared" si="14"/>
        <v>3263776.0615999997</v>
      </c>
      <c r="O38" s="52">
        <f t="shared" si="14"/>
        <v>2534399.696</v>
      </c>
      <c r="P38" s="52">
        <f t="shared" si="14"/>
        <v>-94542.92</v>
      </c>
      <c r="Q38" s="52"/>
      <c r="R38" s="52"/>
    </row>
  </sheetData>
  <autoFilter ref="A2:AB38" xr:uid="{998A7B8D-F097-8649-A0B5-0236074097FD}"/>
  <mergeCells count="1">
    <mergeCell ref="A1:D1"/>
  </mergeCells>
  <hyperlinks>
    <hyperlink ref="A4" r:id="rId1" display="https://smjira.sm.ee/browse/PROJ-3831" xr:uid="{F00E6992-34B5-884B-B309-0FAB3F6E0FCE}"/>
    <hyperlink ref="A5" r:id="rId2" display="https://smjira.sm.ee/browse/PROJ-3825" xr:uid="{75209FF1-97C7-BF4D-A48D-A187256EB941}"/>
    <hyperlink ref="A6" r:id="rId3" display="https://smjira.sm.ee/browse/PROJ-3816" xr:uid="{75EA705F-A9D6-EE40-A77A-336B1E71CFB3}"/>
    <hyperlink ref="A10" r:id="rId4" display="https://smjira.sm.ee/browse/PROJ-3793" xr:uid="{7D5E4B11-2200-DC45-B892-C754B79701BC}"/>
    <hyperlink ref="A11" r:id="rId5" display="https://smjira.sm.ee/browse/PROJ-3758" xr:uid="{F66319FE-48D8-4A44-BE35-9E19BAED7E72}"/>
    <hyperlink ref="A12" r:id="rId6" display="https://smjira.sm.ee/browse/PROJ-3668" xr:uid="{9D957154-0A94-1943-A648-D7654986839E}"/>
    <hyperlink ref="A13" r:id="rId7" display="https://smjira.sm.ee/browse/PROJ-3667" xr:uid="{97AE90C1-57FA-9C4F-B435-988A5DD26988}"/>
    <hyperlink ref="A14" r:id="rId8" display="https://smjira.sm.ee/browse/PROJ-3631" xr:uid="{8CFFC69C-E26C-F349-B1BD-EDDDB3BBF05E}"/>
    <hyperlink ref="A15" r:id="rId9" display="https://smjira.sm.ee/browse/PROJ-3622" xr:uid="{05E342F9-400D-F44C-8175-248BF96AC250}"/>
    <hyperlink ref="A16" r:id="rId10" display="https://smjira.sm.ee/browse/PROJ-3620" xr:uid="{D80C76F4-34D4-8C48-8B1A-F18BC9DB0835}"/>
    <hyperlink ref="A17" r:id="rId11" display="https://smjira.sm.ee/browse/PROJ-3619" xr:uid="{D704A382-2CFE-1147-8884-2842FB21209F}"/>
    <hyperlink ref="A18" r:id="rId12" display="https://smjira.sm.ee/browse/PROJ-3618" xr:uid="{B9480B50-6128-4E4A-B019-D33518A8AEA9}"/>
    <hyperlink ref="A19" r:id="rId13" display="https://smjira.sm.ee/browse/PROJ-3616" xr:uid="{B98AC9EC-0312-2D40-9BE6-54EA763CF461}"/>
    <hyperlink ref="A20" r:id="rId14" display="https://smjira.sm.ee/browse/PROJ-3615" xr:uid="{708BAEF5-DBC3-4D4B-AB7C-49330E308E95}"/>
    <hyperlink ref="A21" r:id="rId15" display="https://smjira.sm.ee/browse/PROJ-3614" xr:uid="{1006A84D-645C-EF43-A41C-3D015BE06EB1}"/>
    <hyperlink ref="A22" r:id="rId16" display="https://smjira.sm.ee/browse/PROJ-3613" xr:uid="{8DF8C8CC-11B2-A446-AC8A-E0E26BDEDDB1}"/>
    <hyperlink ref="A23" r:id="rId17" display="https://smjira.sm.ee/browse/PROJ-3612" xr:uid="{DD87DB50-282C-944B-BE19-8C08AF66D966}"/>
    <hyperlink ref="A24" r:id="rId18" display="https://smjira.sm.ee/browse/PROJ-3611" xr:uid="{4267DEAB-573F-6943-B6F4-0992571564F0}"/>
    <hyperlink ref="A25" r:id="rId19" display="https://smjira.sm.ee/browse/PROJ-3610" xr:uid="{4997CA8B-D9A8-9F4C-9F6A-A676A9C73675}"/>
    <hyperlink ref="A26" r:id="rId20" display="https://smjira.sm.ee/browse/PROJ-3609" xr:uid="{6C26E1CF-47C9-1944-A142-F22B6B44A707}"/>
    <hyperlink ref="A27" r:id="rId21" display="https://smjira.sm.ee/browse/PROJ-3608" xr:uid="{A062BB04-0C37-FF4B-A9D9-08075F544008}"/>
    <hyperlink ref="A28" r:id="rId22" display="https://smjira.sm.ee/browse/PROJ-3594" xr:uid="{538883D3-00D0-9041-BDD9-83FA0605A829}"/>
    <hyperlink ref="A29" r:id="rId23" display="https://smjira.sm.ee/browse/PROJ-3575" xr:uid="{E24D3B24-6CAE-444D-A5F6-6E22AC3C81B4}"/>
    <hyperlink ref="A30" r:id="rId24" display="https://smjira.sm.ee/browse/PROJ-3572" xr:uid="{CB67F9E3-E010-7441-B630-0C206BC69D76}"/>
    <hyperlink ref="A31" r:id="rId25" display="https://smjira.sm.ee/browse/PROJ-3571" xr:uid="{4996B560-DDC3-6140-81C2-D80D499C9F30}"/>
    <hyperlink ref="A32" r:id="rId26" display="https://smjira.sm.ee/browse/PROJ-3468" xr:uid="{8321289A-8434-944A-B1A4-4D2B68AACA4B}"/>
    <hyperlink ref="A33" r:id="rId27" display="https://smjira.sm.ee/browse/PROJ-3467" xr:uid="{91F0DB7C-A89A-6247-971E-F8BC5DBC1DF5}"/>
    <hyperlink ref="A34" r:id="rId28" display="https://smjira.sm.ee/browse/PROJ-3463" xr:uid="{634030A8-1377-4842-B65D-978E7EE4331D}"/>
    <hyperlink ref="A35" r:id="rId29" display="https://smjira.sm.ee/browse/PROJ-3459" xr:uid="{958A8669-4C46-4441-A876-F563287111DD}"/>
    <hyperlink ref="A36" r:id="rId30" display="https://smjira.sm.ee/browse/PROJ-3457" xr:uid="{2EF60083-4042-1F4C-94E1-339ED0D503CE}"/>
    <hyperlink ref="A37" r:id="rId31" display="https://smjira.sm.ee/browse/PROJ-3455" xr:uid="{F9907924-F6F1-E147-ACD9-CF66D64725C2}"/>
    <hyperlink ref="A7" r:id="rId32" display="https://smjira.sm.ee/browse/PROJ-3806" xr:uid="{787FF4F3-0E90-1C48-881D-B0E225212DEA}"/>
    <hyperlink ref="A8" r:id="rId33" display="https://smjira.sm.ee/browse/PROJ-3708" xr:uid="{BF0F0E5C-5539-3642-8D37-66E16E3FACFF}"/>
    <hyperlink ref="A9" r:id="rId34" display="https://smjira.sm.ee/browse/PROJ-3500" xr:uid="{518C2283-0D6F-3145-9044-EABF2A7E9A28}"/>
    <hyperlink ref="A3" r:id="rId35" display="https://smjira.sm.ee/browse/PROJ-3873" xr:uid="{D5004F6F-9397-EE45-9299-E6924CB20F9E}"/>
  </hyperlinks>
  <pageMargins left="0.7" right="0.7" top="0.75" bottom="0.75" header="0.3" footer="0.3"/>
  <pageSetup paperSize="9" orientation="portrait" r:id="rId36"/>
  <legacyDrawing r:id="rId3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6189-3288-9F4C-91C7-EEA466F77A31}">
  <dimension ref="A1:F15"/>
  <sheetViews>
    <sheetView workbookViewId="0">
      <selection activeCell="J5" sqref="J5"/>
    </sheetView>
  </sheetViews>
  <sheetFormatPr defaultColWidth="10.81640625" defaultRowHeight="15"/>
  <cols>
    <col min="1" max="1" width="29" bestFit="1" customWidth="1"/>
    <col min="2" max="5" width="15.81640625" customWidth="1"/>
    <col min="6" max="6" width="20.81640625" customWidth="1"/>
  </cols>
  <sheetData>
    <row r="1" spans="1:6" ht="31.2">
      <c r="A1" s="72"/>
      <c r="B1" s="73" t="s">
        <v>318</v>
      </c>
      <c r="C1" s="73" t="s">
        <v>319</v>
      </c>
      <c r="D1" s="73" t="s">
        <v>320</v>
      </c>
      <c r="E1" s="73" t="s">
        <v>321</v>
      </c>
      <c r="F1" s="73" t="s">
        <v>316</v>
      </c>
    </row>
    <row r="2" spans="1:6">
      <c r="A2" s="68" t="s">
        <v>36</v>
      </c>
      <c r="B2" s="74">
        <v>0.8</v>
      </c>
      <c r="C2" s="74">
        <v>0.8</v>
      </c>
      <c r="D2" s="74">
        <v>0.8</v>
      </c>
      <c r="E2" s="74">
        <v>0.8</v>
      </c>
      <c r="F2" s="69">
        <v>60472.32</v>
      </c>
    </row>
    <row r="3" spans="1:6">
      <c r="A3" s="68" t="s">
        <v>37</v>
      </c>
      <c r="B3" s="74">
        <v>3.5</v>
      </c>
      <c r="C3" s="74">
        <v>3.5</v>
      </c>
      <c r="D3" s="74">
        <v>3.5</v>
      </c>
      <c r="E3" s="74">
        <v>3.5</v>
      </c>
      <c r="F3" s="69">
        <v>264566.39999999997</v>
      </c>
    </row>
    <row r="4" spans="1:6">
      <c r="A4" s="68" t="s">
        <v>40</v>
      </c>
      <c r="B4" s="74">
        <v>0.85</v>
      </c>
      <c r="C4" s="74">
        <v>0.85</v>
      </c>
      <c r="D4" s="74">
        <v>0.85</v>
      </c>
      <c r="E4" s="74">
        <v>0.85</v>
      </c>
      <c r="F4" s="69">
        <v>64251.839999999997</v>
      </c>
    </row>
    <row r="5" spans="1:6">
      <c r="A5" s="68" t="s">
        <v>41</v>
      </c>
      <c r="B5" s="74">
        <v>1.5</v>
      </c>
      <c r="C5" s="74">
        <v>1.5</v>
      </c>
      <c r="D5" s="74">
        <v>1.5</v>
      </c>
      <c r="E5" s="74">
        <v>1.5</v>
      </c>
      <c r="F5" s="69">
        <v>113385.59999999999</v>
      </c>
    </row>
    <row r="6" spans="1:6">
      <c r="A6" s="68" t="s">
        <v>42</v>
      </c>
      <c r="B6" s="74">
        <v>0.6</v>
      </c>
      <c r="C6" s="74">
        <v>0.6</v>
      </c>
      <c r="D6" s="74">
        <v>0.6</v>
      </c>
      <c r="E6" s="74">
        <v>0.6</v>
      </c>
      <c r="F6" s="69">
        <v>45354.239999999998</v>
      </c>
    </row>
    <row r="7" spans="1:6">
      <c r="A7" s="68" t="s">
        <v>44</v>
      </c>
      <c r="B7" s="74">
        <v>1</v>
      </c>
      <c r="C7" s="74">
        <v>1</v>
      </c>
      <c r="D7" s="74">
        <v>1</v>
      </c>
      <c r="E7" s="74">
        <v>1</v>
      </c>
      <c r="F7" s="69">
        <v>83718.399999999994</v>
      </c>
    </row>
    <row r="8" spans="1:6">
      <c r="A8" s="68" t="s">
        <v>45</v>
      </c>
      <c r="B8" s="74">
        <v>1.62</v>
      </c>
      <c r="C8" s="74">
        <v>2.7199999999999998</v>
      </c>
      <c r="D8" s="74">
        <v>2.7199999999999998</v>
      </c>
      <c r="E8" s="74">
        <v>2.7199999999999998</v>
      </c>
      <c r="F8" s="69">
        <v>203858.36799999999</v>
      </c>
    </row>
    <row r="9" spans="1:6">
      <c r="A9" s="68" t="s">
        <v>46</v>
      </c>
      <c r="B9" s="74">
        <v>1.85</v>
      </c>
      <c r="C9" s="74">
        <v>1.85</v>
      </c>
      <c r="D9" s="74">
        <v>1.85</v>
      </c>
      <c r="E9" s="74">
        <v>1.85</v>
      </c>
      <c r="F9" s="69">
        <v>147970.23999999999</v>
      </c>
    </row>
    <row r="10" spans="1:6">
      <c r="A10" s="68" t="s">
        <v>47</v>
      </c>
      <c r="B10" s="74">
        <v>1.3</v>
      </c>
      <c r="C10" s="74">
        <v>3.25</v>
      </c>
      <c r="D10" s="74">
        <v>3.75</v>
      </c>
      <c r="E10" s="74">
        <v>3.75</v>
      </c>
      <c r="F10" s="69">
        <v>261355.04000000004</v>
      </c>
    </row>
    <row r="11" spans="1:6">
      <c r="A11" s="68" t="s">
        <v>48</v>
      </c>
      <c r="B11" s="74"/>
      <c r="C11" s="74">
        <v>0.5</v>
      </c>
      <c r="D11" s="74">
        <v>1</v>
      </c>
      <c r="E11" s="74">
        <v>1</v>
      </c>
      <c r="F11" s="69">
        <v>47467.199999999997</v>
      </c>
    </row>
    <row r="12" spans="1:6">
      <c r="A12" s="68" t="s">
        <v>50</v>
      </c>
      <c r="B12" s="74">
        <v>1.6</v>
      </c>
      <c r="C12" s="74">
        <v>1.6</v>
      </c>
      <c r="D12" s="74">
        <v>1.6</v>
      </c>
      <c r="E12" s="74">
        <v>1.6</v>
      </c>
      <c r="F12" s="69">
        <v>133949.44</v>
      </c>
    </row>
    <row r="13" spans="1:6">
      <c r="A13" s="68" t="s">
        <v>51</v>
      </c>
      <c r="B13" s="74">
        <v>3</v>
      </c>
      <c r="C13" s="74">
        <v>3</v>
      </c>
      <c r="D13" s="74">
        <v>3</v>
      </c>
      <c r="E13" s="74">
        <v>3</v>
      </c>
      <c r="F13" s="69">
        <v>299923.19999999995</v>
      </c>
    </row>
    <row r="14" spans="1:6">
      <c r="A14" s="68" t="s">
        <v>52</v>
      </c>
      <c r="B14" s="74">
        <v>6</v>
      </c>
      <c r="C14" s="74">
        <v>7</v>
      </c>
      <c r="D14" s="74">
        <v>7.82</v>
      </c>
      <c r="E14" s="74">
        <v>7.6400000000000006</v>
      </c>
      <c r="F14" s="69">
        <v>608064.03200000001</v>
      </c>
    </row>
    <row r="15" spans="1:6" ht="15.6">
      <c r="A15" s="70" t="s">
        <v>317</v>
      </c>
      <c r="B15" s="75">
        <v>23.62</v>
      </c>
      <c r="C15" s="75">
        <v>28.17</v>
      </c>
      <c r="D15" s="75">
        <v>29.990000000000002</v>
      </c>
      <c r="E15" s="75">
        <v>29.810000000000002</v>
      </c>
      <c r="F15" s="71">
        <v>2334336.3199999998</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Sissejuhatus</vt:lpstr>
      <vt:lpstr>LISA 1</vt:lpstr>
      <vt:lpstr>LISA 2</vt:lpstr>
      <vt:lpstr>LISA 2 (kõik kuud)</vt:lpstr>
      <vt:lpstr>Investeeringute kirjeldus</vt:lpstr>
      <vt:lpstr>PEX jaotus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Kostrõkin</dc:creator>
  <cp:lastModifiedBy>Kirsika Nahkur</cp:lastModifiedBy>
  <dcterms:created xsi:type="dcterms:W3CDTF">2024-03-11T20:24:22Z</dcterms:created>
  <dcterms:modified xsi:type="dcterms:W3CDTF">2024-07-15T13:48:55Z</dcterms:modified>
</cp:coreProperties>
</file>